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6080" activeTab="0"/>
  </bookViews>
  <sheets>
    <sheet name="工作表1" sheetId="1" r:id="rId1"/>
    <sheet name="工作表2" sheetId="2" r:id="rId2"/>
  </sheets>
  <definedNames/>
  <calcPr fullCalcOnLoad="1"/>
</workbook>
</file>

<file path=xl/sharedStrings.xml><?xml version="1.0" encoding="utf-8"?>
<sst xmlns="http://schemas.openxmlformats.org/spreadsheetml/2006/main" count="15798" uniqueCount="8687">
  <si>
    <t>定價</t>
  </si>
  <si>
    <t>出版社</t>
  </si>
  <si>
    <t>=T("民間"何在"誰之"信仰"")</t>
  </si>
  <si>
    <t>=T("努力實踐"三個代表"全面建設小康社會、率先基本實現社會主義現代")</t>
  </si>
  <si>
    <t>=T("傳統節日與文化空間：“東嶽論壇”國際學術研討會專輯")</t>
  </si>
  <si>
    <t>=T("治世盛衰：“元嘉之治”與“梁武帝之治”初探")</t>
  </si>
  <si>
    <t>=T("少兒紅色經典叢書‧小馬倌和“大皮靴”叔叔")</t>
  </si>
  <si>
    <t>=T("後期"西昆派"研究")</t>
  </si>
  <si>
    <t>文化民生的時代解讀：重慶“唱讀講傳”活動考</t>
  </si>
  <si>
    <t>文化民生的時代解讀：重慶“唱讀講傳”活動考</t>
  </si>
  <si>
    <t>歷史進程與歷史理性-唯物史觀史學方法論</t>
  </si>
  <si>
    <t>歷史進程與歷史理性-唯物史觀史學方法論</t>
  </si>
  <si>
    <t>國家圖書館學刊(2004.3)</t>
  </si>
  <si>
    <t>國家圖書館學刊(2004.4)</t>
  </si>
  <si>
    <t>國家圖書館學刊(2002.1)</t>
  </si>
  <si>
    <t>秦漢審美文化宏觀研究</t>
  </si>
  <si>
    <t>徐復觀美學思想研究</t>
  </si>
  <si>
    <t>海峽兩岸的產業合作</t>
  </si>
  <si>
    <t>中國民俗史·民國卷</t>
  </si>
  <si>
    <t>男子作閨音：中國古典文學中的男扮女裝現象研究</t>
  </si>
  <si>
    <t>清初私家修史研究 : 以史家群體為研究物件</t>
  </si>
  <si>
    <t>中國近三百年學術史—人民文庫叢書</t>
  </si>
  <si>
    <t>先秦諸子禮學研究</t>
  </si>
  <si>
    <t>回首五四——百年中國思潮和人物</t>
  </si>
  <si>
    <t>梁啟超趣味論研究(南湖學術文庫)</t>
  </si>
  <si>
    <t>漢賦書寫策略與心態建構</t>
  </si>
  <si>
    <t>紅段子現象——網路時代的中國文化精神</t>
  </si>
  <si>
    <t>北京文學史-北京專史集成</t>
  </si>
  <si>
    <t>大明宮唐詩輯注</t>
  </si>
  <si>
    <t>忠貞：開國元勳的夫人們</t>
  </si>
  <si>
    <t>經學傳統與中國古代學術文化形態</t>
  </si>
  <si>
    <t>端木蕻良手劄</t>
  </si>
  <si>
    <t>世紀良知-巴金</t>
  </si>
  <si>
    <t>蕭瑟悉尼</t>
  </si>
  <si>
    <t>項美麗在上海</t>
  </si>
  <si>
    <t>善知識經濟-因陀羅網經濟學初步</t>
  </si>
  <si>
    <t>我的生活品質</t>
  </si>
  <si>
    <t>關於我父母的一切</t>
  </si>
  <si>
    <t>飛向人馬座</t>
  </si>
  <si>
    <t>飛出地球去</t>
  </si>
  <si>
    <t>你知道我在等你嗎</t>
  </si>
  <si>
    <t>羽蛇</t>
  </si>
  <si>
    <t>我是太陽</t>
  </si>
  <si>
    <t>上塘書</t>
  </si>
  <si>
    <t>七個人的背叛</t>
  </si>
  <si>
    <t>2005文學評論.21世紀年度文學評論選</t>
  </si>
  <si>
    <t>河流如血</t>
  </si>
  <si>
    <t>曳著太陽飛</t>
  </si>
  <si>
    <t>中國古代小說研究(第一輯)</t>
  </si>
  <si>
    <t>揚眉劍出鞘</t>
  </si>
  <si>
    <t>中國的眸子</t>
  </si>
  <si>
    <t>馬家軍調查</t>
  </si>
  <si>
    <t>奇異的書簡</t>
  </si>
  <si>
    <t>根本利益</t>
  </si>
  <si>
    <t>淮河的警告</t>
  </si>
  <si>
    <t>空山</t>
  </si>
  <si>
    <t>先秦詩選(中國古典文學讀本叢書·歷代詩選)</t>
  </si>
  <si>
    <t>聖天門口（全三冊）</t>
  </si>
  <si>
    <t>空山 2</t>
  </si>
  <si>
    <t>所以</t>
  </si>
  <si>
    <t>張之洞-唐浩明文集.張之洞(全三冊)</t>
  </si>
  <si>
    <t>中國當代文學的藝術探索</t>
  </si>
  <si>
    <t>多少往煙雨中</t>
  </si>
  <si>
    <t>屈原 蔡文姬</t>
  </si>
  <si>
    <t>醉裏挑燈看花-中國詩歌-第4卷</t>
  </si>
  <si>
    <t>西昆體研究</t>
  </si>
  <si>
    <t>大熊貓研究進展</t>
  </si>
  <si>
    <t>唐山皮影</t>
  </si>
  <si>
    <t>蔚雲剪紙</t>
  </si>
  <si>
    <t>國學概要-對國學的文化解讀</t>
  </si>
  <si>
    <t>國際科技競爭力研究報告</t>
  </si>
  <si>
    <t>站在美國陽臺看中國</t>
  </si>
  <si>
    <t>中國文學史（第二版）第三卷</t>
  </si>
  <si>
    <t>中國民族民間舞傳統.典型組合淵源與分析</t>
  </si>
  <si>
    <t>新時期中國古典文學研究述論 第一卷</t>
  </si>
  <si>
    <t>詩.思.史:衝突 融合:米蘭 昆德拉小說詩學引論</t>
  </si>
  <si>
    <t>呂氏春秋詞類研究</t>
  </si>
  <si>
    <t>漢語語彙學研究</t>
  </si>
  <si>
    <t>圓明園西洋樓景區的園林建築與精緻文化</t>
  </si>
  <si>
    <t>中華傳統文化探幽</t>
  </si>
  <si>
    <t>中國文化與中國的兵</t>
  </si>
  <si>
    <t>中國風土人情</t>
  </si>
  <si>
    <t>魏晉玄言詩研究</t>
  </si>
  <si>
    <t>戰國文學史論</t>
  </si>
  <si>
    <t>音韻學方法論討論集</t>
  </si>
  <si>
    <t>唐史識見錄</t>
  </si>
  <si>
    <t>葫蘆藝術及其他</t>
  </si>
  <si>
    <t>中國花錢與傳統文化　</t>
  </si>
  <si>
    <t>中國歷史中的情感文化—對明清文獻的跨學科文本研究</t>
  </si>
  <si>
    <t>以講史到演義--中國古代通俗小說的歷史?事</t>
  </si>
  <si>
    <t>魏晉南北朝墓葬的考古學研究</t>
  </si>
  <si>
    <t>唐宋都城社會結構研究--對城市經濟與社會的關注　</t>
  </si>
  <si>
    <t>漢宇字原與人文理論</t>
  </si>
  <si>
    <t>辭源 研究論文集</t>
  </si>
  <si>
    <t>品牌之道--商務印書館</t>
  </si>
  <si>
    <t>中國訓詁學報 第一輯</t>
  </si>
  <si>
    <t>懷舊--永恆的文化鄉愁　</t>
  </si>
  <si>
    <t>閱讀的歷史</t>
  </si>
  <si>
    <t>中國書業年度報告</t>
  </si>
  <si>
    <t>漢宇語彙研究史</t>
  </si>
  <si>
    <t>自古英傑多磨難</t>
  </si>
  <si>
    <t>古籍研究著作-張元濟全集-第9卷</t>
  </si>
  <si>
    <t>孫子兵法</t>
  </si>
  <si>
    <t>歷史如此年輕-報人讀史劄記二集</t>
  </si>
  <si>
    <t>明清文化史探研</t>
  </si>
  <si>
    <t>王廷相集(理學叢書)</t>
  </si>
  <si>
    <t>全唐詩作者索引(?訂簡體橫排本)</t>
  </si>
  <si>
    <t>黃庭堅和江西詩派資料彙編(全二冊)</t>
  </si>
  <si>
    <t>執守·反撥·超越--七月派史論</t>
  </si>
  <si>
    <t>清詩話考</t>
  </si>
  <si>
    <t>金陵古跡圖考</t>
  </si>
  <si>
    <t>閩浙陣中日記</t>
  </si>
  <si>
    <t>湘災紀略(近代史料筆記叢刊)</t>
  </si>
  <si>
    <t>滇輶日記 東使紀程</t>
  </si>
  <si>
    <t>東游紀程</t>
  </si>
  <si>
    <t>走向世俗：宋代文言小說的變遷</t>
  </si>
  <si>
    <t>域外漢籍叢考</t>
  </si>
  <si>
    <t>21世紀與中國文化</t>
  </si>
  <si>
    <t>馬駿細解二戰謎中謎</t>
  </si>
  <si>
    <t>劉克莊與南宋學術</t>
  </si>
  <si>
    <t>金元詩文與文獻研究</t>
  </si>
  <si>
    <t>不求甚解：讀民國古代文學研究十八篇</t>
  </si>
  <si>
    <t>宋詞體演變史</t>
  </si>
  <si>
    <t>歷代律曆志校注(二十四史校訂研究叢刊)</t>
  </si>
  <si>
    <t>問吧7</t>
  </si>
  <si>
    <t>中國詩歌研究. 第五輯</t>
  </si>
  <si>
    <t>問吧</t>
  </si>
  <si>
    <t>宋書校勘記長編（全3冊）</t>
  </si>
  <si>
    <t>宋代詩畫中的政治隱情</t>
  </si>
  <si>
    <t>古刻新詮</t>
  </si>
  <si>
    <t>二十世紀中國小說文獻學述略</t>
  </si>
  <si>
    <t>稀見唐宋文獻叢考</t>
  </si>
  <si>
    <t>孔子</t>
  </si>
  <si>
    <t>毛詩正義研究——以詩學為中心</t>
  </si>
  <si>
    <t>孝經地藏經文昌孝經</t>
  </si>
  <si>
    <t>大明流煌</t>
  </si>
  <si>
    <t>秦皇漢武</t>
  </si>
  <si>
    <t>睡獅覺醒</t>
  </si>
  <si>
    <t>康乾盛世</t>
  </si>
  <si>
    <t>重振乾坤</t>
  </si>
  <si>
    <t>問吧15—有關中國文化的101個趣味問題</t>
  </si>
  <si>
    <t>大都風采</t>
  </si>
  <si>
    <t>輝煌時代---兩京繁華</t>
  </si>
  <si>
    <t>中華意象—天體趣談</t>
  </si>
  <si>
    <t>伶人.武士.獵手--後唐莊宗李存勳傳</t>
  </si>
  <si>
    <t>蔡邕評傳(中華文史新刊)</t>
  </si>
  <si>
    <t>文獻與文心. 元明清文學論考</t>
  </si>
  <si>
    <t>烽火與流星. 蕭梁王朝的文學與文化</t>
  </si>
  <si>
    <t>敦煌講唱文學寫本研究</t>
  </si>
  <si>
    <t>宋季士風與文學</t>
  </si>
  <si>
    <t>國文國史三十年：1</t>
  </si>
  <si>
    <t>中國傳統紅木小件</t>
  </si>
  <si>
    <t>大漢帝國風雲(伍)</t>
  </si>
  <si>
    <t>晚楓文集</t>
  </si>
  <si>
    <t>鐵血華年</t>
  </si>
  <si>
    <t>閃躍-甯磊說解&lt;&lt;道德經&gt;&gt;&lt;&lt;大學&gt;&gt;</t>
  </si>
  <si>
    <t>用一句話的時間愛上生活</t>
  </si>
  <si>
    <t>後西遊記</t>
  </si>
  <si>
    <t>青海審美文化</t>
  </si>
  <si>
    <t>吉祥紋蓮花樓--朱雀</t>
  </si>
  <si>
    <t>當身體還剩下四分之一時</t>
  </si>
  <si>
    <t>贏家：現代經營管理新智囊</t>
  </si>
  <si>
    <t>衢州_鄉土中國</t>
  </si>
  <si>
    <t>西方20世紀別墅二十講</t>
  </si>
  <si>
    <t>異形建築</t>
  </si>
  <si>
    <t>韓世忠年譜</t>
  </si>
  <si>
    <t>漫讀經典</t>
  </si>
  <si>
    <t>反抗絕望：魯迅及其文學世界</t>
  </si>
  <si>
    <t>新素園石譜</t>
  </si>
  <si>
    <t>古代藝術與儀式</t>
  </si>
  <si>
    <t>震中熊貓影像日記</t>
  </si>
  <si>
    <t>追憶康有為</t>
  </si>
  <si>
    <t>從廢園到燕園</t>
  </si>
  <si>
    <t>郊廟之外--隋唐國家祭祀與宗教</t>
  </si>
  <si>
    <t>中國人文社會科學三十年</t>
  </si>
  <si>
    <t>靈性：馮驥才的文與畫</t>
  </si>
  <si>
    <t>考古學專題六講</t>
  </si>
  <si>
    <t>梅花與宮闈佳麗</t>
  </si>
  <si>
    <t>戰後臺灣文學經驗</t>
  </si>
  <si>
    <t>香妃—幹隆容妃的幻影</t>
  </si>
  <si>
    <t>紙天堂-西方人與中國的歷史糾纏</t>
  </si>
  <si>
    <t>講古神話傳奇.詮釋古人之夢</t>
  </si>
  <si>
    <t>學習古代詩歌.繼承文化經典-博古知識畫庫.青少年必讀</t>
  </si>
  <si>
    <t>左看右看心理學</t>
  </si>
  <si>
    <t>建築畫_高等學校建築美術系列教材(第二版)</t>
  </si>
  <si>
    <t>埃托.索特薩斯及其事務所_國外建築與設計系列</t>
  </si>
  <si>
    <t>再見吧!創意</t>
  </si>
  <si>
    <t>中國記憶：中國文化遺產檔案</t>
  </si>
  <si>
    <t>藝術賞析</t>
  </si>
  <si>
    <t>設計之道建築師訪談錄</t>
  </si>
  <si>
    <t>黃帶子</t>
  </si>
  <si>
    <t>郵林情愫</t>
  </si>
  <si>
    <t>玩島嶼：最美島嶼度假攻略(彩印)</t>
  </si>
  <si>
    <t>一部《論語》帶隊伍</t>
  </si>
  <si>
    <t>溫病學</t>
  </si>
  <si>
    <t>珍藏海外回歸中醫古籍叢書-(第二冊)</t>
  </si>
  <si>
    <t>珍藏海外回歸中醫古籍叢書-(第三冊)</t>
  </si>
  <si>
    <t>珍藏海外回歸中醫古籍叢書-(第四冊)</t>
  </si>
  <si>
    <t>珍版海外回歸中醫古籍叢書-(第五冊)</t>
  </si>
  <si>
    <t>珍版海外回歸中醫古籍叢書-(第六冊)</t>
  </si>
  <si>
    <t>珍版海外回歸中醫古籍叢書-(第七冊)</t>
  </si>
  <si>
    <t>珍版海外回歸中醫古籍叢書-(第八冊)</t>
  </si>
  <si>
    <t>珍藏海外回歸中醫古籍叢書-(第九冊)</t>
  </si>
  <si>
    <t>珍版海外回歸中醫古籍叢書-(第十冊)</t>
  </si>
  <si>
    <t>中國陶瓷</t>
  </si>
  <si>
    <t>中國式寂寞</t>
  </si>
  <si>
    <t>哲學原來可以這樣學</t>
  </si>
  <si>
    <t>騎著駱駝逛大唐</t>
  </si>
  <si>
    <t>史學要論-大家小書</t>
  </si>
  <si>
    <t>愛新覺羅·溥儀日記（上下）</t>
  </si>
  <si>
    <t>中國設計藝術史論</t>
  </si>
  <si>
    <t>眼力：唐代金壺杯收藏傳奇(CXWY)</t>
  </si>
  <si>
    <t>大家國學·魯迅</t>
  </si>
  <si>
    <t>史間道-1840-1949中國歷史的非常話語</t>
  </si>
  <si>
    <t>唐朝那些事兒</t>
  </si>
  <si>
    <t>決策與智囊</t>
  </si>
  <si>
    <t>新說水滸人物</t>
  </si>
  <si>
    <t>國學與國粹</t>
  </si>
  <si>
    <t>老天津的風俗</t>
  </si>
  <si>
    <t>古代小說與歷史</t>
  </si>
  <si>
    <t>古代小說作家簡論</t>
  </si>
  <si>
    <t>古代小說史料簡論</t>
  </si>
  <si>
    <t>隋唐演義-上下冊</t>
  </si>
  <si>
    <t>文化的江山（上下冊）</t>
  </si>
  <si>
    <t>柔然公主(北方星爛 草原歷史上的女人)</t>
  </si>
  <si>
    <t>世紀大講堂. 社會卷</t>
  </si>
  <si>
    <t>王剛講故事-肆輯</t>
  </si>
  <si>
    <t>追尋五帝. 揭幕中國歷史紀元的開篇</t>
  </si>
  <si>
    <t>唐朝到底是怎麼回事</t>
  </si>
  <si>
    <t>歷史洪流中奮鬥的故事</t>
  </si>
  <si>
    <t>漢高祖皇后呂雉傳</t>
  </si>
  <si>
    <t>閨中奇跡——中國女書</t>
  </si>
  <si>
    <t>文明的聖樹——哈尼梯田</t>
  </si>
  <si>
    <t>中國俗文學史(世紀人文系列叢書)—插圖本</t>
  </si>
  <si>
    <t>大人家</t>
  </si>
  <si>
    <t>上海日記</t>
  </si>
  <si>
    <t>中國武術文化散論</t>
  </si>
  <si>
    <t>我們的根──簡說五千年中國文明史</t>
  </si>
  <si>
    <t>中國圖書事業史</t>
  </si>
  <si>
    <t>魏晉南北朝代詞研究</t>
  </si>
  <si>
    <t>近代上海文人詞曲研究</t>
  </si>
  <si>
    <t>當代中國外交簡史</t>
  </si>
  <si>
    <t>歷史決定論的貧困</t>
  </si>
  <si>
    <t>宋代人物論稿</t>
  </si>
  <si>
    <t>水清土潤-江南民俗</t>
  </si>
  <si>
    <t>晚清以來蘇州評彈與蘇州社會-以書場為中心的研究</t>
  </si>
  <si>
    <t>千古奇案</t>
  </si>
  <si>
    <t>民族論</t>
  </si>
  <si>
    <t>齊魯之光：山東省中華著名烈士事蹟選 1</t>
  </si>
  <si>
    <t>法學家茶座.第13輯</t>
  </si>
  <si>
    <t>社會學家茶座(第18輯)</t>
  </si>
  <si>
    <t>法學家茶座-第14輯</t>
  </si>
  <si>
    <t>社會學家茶座-第19輯</t>
  </si>
  <si>
    <t>法學家茶座(第15輯)</t>
  </si>
  <si>
    <t>中國藝術民俗學</t>
  </si>
  <si>
    <t>游方記</t>
  </si>
  <si>
    <t>程朱禮法學研究</t>
  </si>
  <si>
    <t>孝經智慧</t>
  </si>
  <si>
    <t>經濟學家茶座(第37~40輯合訂本)</t>
  </si>
  <si>
    <t>經濟學家茶座(第33~36輯合訂本)</t>
  </si>
  <si>
    <t>法學家茶座(第13~16輯合訂本)</t>
  </si>
  <si>
    <t>中國文化小通史-秦漢三國.第二卷</t>
  </si>
  <si>
    <t>我畫我心——意象對話解讀人心</t>
  </si>
  <si>
    <t>情斷南宋</t>
  </si>
  <si>
    <t>紅黑科龍</t>
  </si>
  <si>
    <t>聯想喘息</t>
  </si>
  <si>
    <t>被誇大的使命（吳曉波著）</t>
  </si>
  <si>
    <t>新商道</t>
  </si>
  <si>
    <t>傳奇之祖——高明傳</t>
  </si>
  <si>
    <t>沉抑曲家:張可久傳</t>
  </si>
  <si>
    <t>曲中巨擘:洪昇傳</t>
  </si>
  <si>
    <t>也曾笑看吳鉤</t>
  </si>
  <si>
    <t>宦官劫數</t>
  </si>
  <si>
    <t>功臣悲歡</t>
  </si>
  <si>
    <t>儲君禍福</t>
  </si>
  <si>
    <t>魏特琳日記</t>
  </si>
  <si>
    <t>政治的回歸</t>
  </si>
  <si>
    <t>南京大屠殺史料集：外國媒體報導與德國使館報告</t>
  </si>
  <si>
    <t>南京大屠殺史料集：日軍官兵日記</t>
  </si>
  <si>
    <t>南京大屠殺史料集：遇難者的屍體掩埋</t>
  </si>
  <si>
    <t>南京大屠殺史料集：倖存者的日記與回憶</t>
  </si>
  <si>
    <t>南京大屠殺史料集：戰前的南京與日機的空襲</t>
  </si>
  <si>
    <t>南京大屠殺史料集：東京審判</t>
  </si>
  <si>
    <t>南京大屠殺史料集：美國傳教士的日記與書信</t>
  </si>
  <si>
    <t>日軍官兵日記與書信</t>
  </si>
  <si>
    <t>日本軍方檔</t>
  </si>
  <si>
    <t>英美文書·安全區文書·自治委員會文書</t>
  </si>
  <si>
    <t>南京審判</t>
  </si>
  <si>
    <t>前期人口傷亡和財產損失調查</t>
  </si>
  <si>
    <t>賠償委員會調查統計</t>
  </si>
  <si>
    <t>日軍罪行調查委員會調查統計（上中下）</t>
  </si>
  <si>
    <t>南京大屠殺案市民呈文</t>
  </si>
  <si>
    <t>中外藝術關鍵字(上下)</t>
  </si>
  <si>
    <t>論中國特色社會主義文化建設</t>
  </si>
  <si>
    <t>圖說中國工藝美術藝術</t>
  </si>
  <si>
    <t>圖說中國戲劇藝術</t>
  </si>
  <si>
    <t>圖說中國民俗藝術</t>
  </si>
  <si>
    <t>圖說中國雕塑藝術</t>
  </si>
  <si>
    <t>中國美學問題</t>
  </si>
  <si>
    <t>中原民間工藝美術</t>
  </si>
  <si>
    <t>中國美學年鑒.2003</t>
  </si>
  <si>
    <t>先唐文化與散文風格的嬗變</t>
  </si>
  <si>
    <t>黎元洪傳</t>
  </si>
  <si>
    <t>圖說世界美術大系</t>
  </si>
  <si>
    <t>設計中國姓</t>
  </si>
  <si>
    <t>龍舟歌</t>
  </si>
  <si>
    <t>孕產婦飲食營養誤區</t>
  </si>
  <si>
    <t>嶺南文化知識書系:潮汕先民探源</t>
  </si>
  <si>
    <t>嶺南文化知識書系:歷史文化名城雷州</t>
  </si>
  <si>
    <t>百年千年 : 香山文化溯源與解讀</t>
  </si>
  <si>
    <t>嶺南文化知識書系:鎮海樓</t>
  </si>
  <si>
    <t>樂昌風物與古文化遺存</t>
  </si>
  <si>
    <t>盛事不朽的異彩華章-中國古典文學精神</t>
  </si>
  <si>
    <t>新史學叢書:並未遠去的背影</t>
  </si>
  <si>
    <t>中西比較文藝學</t>
  </si>
  <si>
    <t>飛越唐詩</t>
  </si>
  <si>
    <t>綜合創意實訓導向 樂活漢字</t>
  </si>
  <si>
    <t>文化演繹中的圖像-中國近現代文學/美術個案解讀</t>
  </si>
  <si>
    <t>從鳳姐治家到火拼王倫-讀紅樓水滸 學管理智慧</t>
  </si>
  <si>
    <t>圖說水滸傳100名言</t>
  </si>
  <si>
    <t>品味環球葡萄酒名莊之旅</t>
  </si>
  <si>
    <t>西非三國：對抗與和解的悖論</t>
  </si>
  <si>
    <t>四川非物質文化遺產:川劇(珍藏本)</t>
  </si>
  <si>
    <t>中國民俗文化系列-中國傳統交際禮儀(拱手.鞠躬.跪拜)</t>
  </si>
  <si>
    <t>燦爛中華文明：文學卷</t>
  </si>
  <si>
    <t>燦爛中華文明：藝術卷</t>
  </si>
  <si>
    <t>燦爛中華文明：名鄉卷</t>
  </si>
  <si>
    <t>燦爛中華文明：民族卷</t>
  </si>
  <si>
    <t>燦爛中華文明：發明卷</t>
  </si>
  <si>
    <t>燦爛中華文明：上水卷</t>
  </si>
  <si>
    <t>水經注全譯（上下）</t>
  </si>
  <si>
    <t>荀子全譯</t>
  </si>
  <si>
    <t>禮記全譯孝經全譯(上下)</t>
  </si>
  <si>
    <t>古文觀止新編解讀</t>
  </si>
  <si>
    <t>在繁華中沉沒:清帝國</t>
  </si>
  <si>
    <t>夜深千帳燈</t>
  </si>
  <si>
    <t>誰念西風獨自涼</t>
  </si>
  <si>
    <t>漢風流韻(漢文化叢書)</t>
  </si>
  <si>
    <t>元成之世(漢文化叢書)</t>
  </si>
  <si>
    <t>昭宣時代(漢文化叢書)</t>
  </si>
  <si>
    <t>帝國的神話</t>
  </si>
  <si>
    <t>盔甲兵們的那點事</t>
  </si>
  <si>
    <t>彼岸開花 中國歷史的另類獨白</t>
  </si>
  <si>
    <t>北歐神話</t>
  </si>
  <si>
    <t>希臘神話</t>
  </si>
  <si>
    <t>先秦亂</t>
  </si>
  <si>
    <t>文化名人的個性</t>
  </si>
  <si>
    <t>識武器話軍事-彩圖注音</t>
  </si>
  <si>
    <t>觀植物愛自然-小眼睛大世界-彩圖注音</t>
  </si>
  <si>
    <t>楚辭是一襲疾風</t>
  </si>
  <si>
    <t>漢朝的密碼-從秦皇到漢武的帝國記憶</t>
  </si>
  <si>
    <t>三國殤-(全三冊)</t>
  </si>
  <si>
    <t>全彩西方工藝美術史</t>
  </si>
  <si>
    <t>全彩東方工藝美術史</t>
  </si>
  <si>
    <t>王朝間的對話：朝鮮領選使天津來往日記導讀</t>
  </si>
  <si>
    <t>我們的節日。清明</t>
  </si>
  <si>
    <t>回族雕刻藝術</t>
  </si>
  <si>
    <t>新疆現代版畫發展史</t>
  </si>
  <si>
    <t>絲綢之路研究叢書 ： 絲綢之路戲劇文化研究</t>
  </si>
  <si>
    <t>絲綢之路研究叢書 ： 絲綢之路伊犁研究</t>
  </si>
  <si>
    <t>絲綢之路研究叢書 ： 絲綢之路吐魯番研究</t>
  </si>
  <si>
    <t>絲綢之路研究叢書 ： 絲綢之路民間文學研究</t>
  </si>
  <si>
    <t>絲綢之路研究叢書 ： 絲綢之路古代種族研究</t>
  </si>
  <si>
    <t>絲綢之路研究叢書 ： 絲綢之路戲曲研究</t>
  </si>
  <si>
    <t>絲綢之路研究叢書 ： 絲綢之路樂舞藝術研究</t>
  </si>
  <si>
    <t>西域探險考察大系：斯坦因西域考古記</t>
  </si>
  <si>
    <t>新疆鄉土志稿</t>
  </si>
  <si>
    <t>絲綢之路研究叢書：絲綢之路人口研究</t>
  </si>
  <si>
    <t>絲綢之路研究叢書：絲綢之路古代種族研究</t>
  </si>
  <si>
    <t>絲綢之路研究叢書：絲綢之路草原文化研究</t>
  </si>
  <si>
    <t>絲綢之路研究叢書：絲綢之路伊犁研究</t>
  </si>
  <si>
    <t>絲綢之路研究叢書：絲綢之路戲曲研究</t>
  </si>
  <si>
    <t>絲綢之路研究叢書：絲綢之路戲劇文化研究</t>
  </si>
  <si>
    <t>絲綢之路研究叢書：絲綢之路吐魯番研究</t>
  </si>
  <si>
    <t>絲綢之路研究叢書：絲綢之路草原石人研究</t>
  </si>
  <si>
    <t>絲綢之路研究叢書：絲綢之路屯墾研究</t>
  </si>
  <si>
    <t>絲綢之路研究叢書：絲綢之路中國與非洲文化交流研究</t>
  </si>
  <si>
    <t>民間新疆·故事系列：尕妹和阿哥</t>
  </si>
  <si>
    <t>民間新疆·故事系列：福仁哈達</t>
  </si>
  <si>
    <t>民間新疆·故事系列：靈芝姑娘</t>
  </si>
  <si>
    <t>民間新疆·故事系列：神駒勇士</t>
  </si>
  <si>
    <t>民間新疆·故事系列：鷹與孔雀</t>
  </si>
  <si>
    <t>民間新疆·故事系列：馬背上的冬不拉</t>
  </si>
  <si>
    <t>民間新疆·故事系列：四十條辮子</t>
  </si>
  <si>
    <t>民間新疆·故事系列：紅蓋頭</t>
  </si>
  <si>
    <t>金鏤之雅——馬進貴西域玉雕藝術</t>
  </si>
  <si>
    <t>民間新疆·故事系列：拇指孩兒</t>
  </si>
  <si>
    <t>民間新疆·故事系列：金翅膀的夜鶯</t>
  </si>
  <si>
    <t>美美與共</t>
  </si>
  <si>
    <t>《新疆通史》研究叢書：唐安西都護府史事編年</t>
  </si>
  <si>
    <t>《新疆通史》研究叢書：西域史地三種資料校注</t>
  </si>
  <si>
    <t>第二屆架上連環畫插圖邀請展</t>
  </si>
  <si>
    <t>格吐肯書法新作</t>
  </si>
  <si>
    <t>戰爭記憶</t>
  </si>
  <si>
    <t>狼性征服</t>
  </si>
  <si>
    <t>無所畏與無所謂</t>
  </si>
  <si>
    <t>中華百年建築經典.5</t>
  </si>
  <si>
    <t>在文藝與意識形態之間:胡風研究</t>
  </si>
  <si>
    <t>歷史並不遙遠</t>
  </si>
  <si>
    <t>中國中古文學史講義 : 朗朗書房·國學基礎文庫</t>
  </si>
  <si>
    <t>中華百年建築經典.3</t>
  </si>
  <si>
    <t>中華百年建築經典.4</t>
  </si>
  <si>
    <t>文學的個性. 百家講壇</t>
  </si>
  <si>
    <t>激情員工：通過滿足員工關鍵需求而獲利</t>
  </si>
  <si>
    <t>古中國的歌:葉秀山論京劇</t>
  </si>
  <si>
    <t>塔(建築文化解讀叢書)</t>
  </si>
  <si>
    <t>橋(建築文化解讀叢書)</t>
  </si>
  <si>
    <t>國學之光</t>
  </si>
  <si>
    <t>圖說中國皇家園林</t>
  </si>
  <si>
    <t>建築大師訪談</t>
  </si>
  <si>
    <t>詩國文苑</t>
  </si>
  <si>
    <t>論語解讀</t>
  </si>
  <si>
    <t>虔誠的印跡-史上最具人文韻味的12座教堂</t>
  </si>
  <si>
    <t>范曾海外散文三十三篇(范曾詩文書畫集)</t>
  </si>
  <si>
    <t>牛奶可樂經濟學2</t>
  </si>
  <si>
    <t>儒學概論</t>
  </si>
  <si>
    <t>中國文學理論史（一）先秦兩漢、魏晉南北朝卷</t>
  </si>
  <si>
    <t>中國文學理論史（二）隋唐五代、宋元卷</t>
  </si>
  <si>
    <t>中國文學理論史（三）明代卷</t>
  </si>
  <si>
    <t>中國文學理論史（五）近代卷</t>
  </si>
  <si>
    <t>中國文學理論史（四）清代卷</t>
  </si>
  <si>
    <t>聖賢氣象</t>
  </si>
  <si>
    <t>漢唐盛世的歷史解讀-漢唐盛世學術研討會論文集</t>
  </si>
  <si>
    <t>百家之言</t>
  </si>
  <si>
    <t>亞麻布上的秘密時光-現代藝術極品閱讀筆記</t>
  </si>
  <si>
    <t>二十世紀初中國政治改革風潮：清末立憲運動史</t>
  </si>
  <si>
    <t>文學的維度</t>
  </si>
  <si>
    <t>論二十世紀中國文學</t>
  </si>
  <si>
    <t>新世紀的太陽-二十世紀中國詩潮</t>
  </si>
  <si>
    <t>嬗變-辛亥革命時期至五四時期的中國文學-修訂版</t>
  </si>
  <si>
    <t>自由的孔子與不自由的蘇格拉底</t>
  </si>
  <si>
    <t>文心雕龍品鑒-插圖本</t>
  </si>
  <si>
    <t>謝無量文集：第六卷 中國六大文豪 羅貫中與馬致遠</t>
  </si>
  <si>
    <t>謝無量文集：第九卷·中國大文學史</t>
  </si>
  <si>
    <t>謝無量文集：第七卷‧詞學指南.駢文指南.詩經研究.楚辭新論</t>
  </si>
  <si>
    <t>謝無量文集：第三卷·朱子學派·陽明學派·王充哲學</t>
  </si>
  <si>
    <t>全宋詩（8）</t>
  </si>
  <si>
    <t>全宋詩（16）</t>
  </si>
  <si>
    <t>全宋詩（22）</t>
  </si>
  <si>
    <t>全宋詩（23）</t>
  </si>
  <si>
    <t>全宋詩（24）</t>
  </si>
  <si>
    <t>全宋詩（25）</t>
  </si>
  <si>
    <t>閩文化概論</t>
  </si>
  <si>
    <t>中國現當代文學名著導讀</t>
  </si>
  <si>
    <t>通俗文學十五講</t>
  </si>
  <si>
    <t>美學十五講</t>
  </si>
  <si>
    <t>政治學十五講</t>
  </si>
  <si>
    <t>中國當代女性文學的文化探析</t>
  </si>
  <si>
    <t>在驚詫中開始</t>
  </si>
  <si>
    <t>燕園論詩——中國古代詩歌論集</t>
  </si>
  <si>
    <t>新青年讀本：希望之謎</t>
  </si>
  <si>
    <t>輸贏</t>
  </si>
  <si>
    <t>現代中國.第七輯</t>
  </si>
  <si>
    <t>醫學人文十五講</t>
  </si>
  <si>
    <t>《亨利·亞當斯的教育》新論</t>
  </si>
  <si>
    <t>蒙培元講孟子</t>
  </si>
  <si>
    <t>昆侖法學論叢 第三卷</t>
  </si>
  <si>
    <t>有情君未老:侯仁之九十五華誕影集</t>
  </si>
  <si>
    <t>雙重迷宮：外國文化文學隨筆</t>
  </si>
  <si>
    <t>《所羅門之歌》新論</t>
  </si>
  <si>
    <t>《白噪音》新論</t>
  </si>
  <si>
    <t>《美國人》新論</t>
  </si>
  <si>
    <t>《我的安冬尼亞》新論</t>
  </si>
  <si>
    <t>《拍賣第49號》新論</t>
  </si>
  <si>
    <t>《向蒼天呼籲》新論</t>
  </si>
  <si>
    <t>《豪門春秋》新論</t>
  </si>
  <si>
    <t>《小鎮畸人》新論</t>
  </si>
  <si>
    <t>《去吧，摩西》新論</t>
  </si>
  <si>
    <t>《尖樅樹之鄉》新論</t>
  </si>
  <si>
    <t>《八月之光》新論</t>
  </si>
  <si>
    <t>《土生子》新論</t>
  </si>
  <si>
    <t>《他們眼望上蒼》新論</t>
  </si>
  <si>
    <t>王國維郭沫若與儒教</t>
  </si>
  <si>
    <t>國學：多學科的視角</t>
  </si>
  <si>
    <t>文學知識學</t>
  </si>
  <si>
    <t>中國國情</t>
  </si>
  <si>
    <t>紅樓書影</t>
  </si>
  <si>
    <t>雨中春樹人家:品味華夏建築</t>
  </si>
  <si>
    <t>恰如燈下故人:諦聽中國瓷器妙音</t>
  </si>
  <si>
    <t>中華文學演義（上下）</t>
  </si>
  <si>
    <t>藝術修養書</t>
  </si>
  <si>
    <t>迦陵論詞叢稿(迦陵著作集)</t>
  </si>
  <si>
    <t>中國古代文化史（上下）</t>
  </si>
  <si>
    <t>圖學館學士什麼</t>
  </si>
  <si>
    <t>中國文學：古代與現代</t>
  </si>
  <si>
    <t>中國現代通俗小說思辯錄</t>
  </si>
  <si>
    <t>中國文化六講</t>
  </si>
  <si>
    <t>中國歷史概要</t>
  </si>
  <si>
    <t>輝煌與成熟--隋唐中葉的物質文明</t>
  </si>
  <si>
    <t>儒家典籍與思想研究-(第一輯)</t>
  </si>
  <si>
    <t>有一種財富叫誠信</t>
  </si>
  <si>
    <t>快樂在於選擇</t>
  </si>
  <si>
    <t>和平禮物-林徽因隨筆</t>
  </si>
  <si>
    <t>中國古詩詞</t>
  </si>
  <si>
    <t>賦學講演錄</t>
  </si>
  <si>
    <t>紅樓鐘聲及其迴響--重新審讀五四新文化</t>
  </si>
  <si>
    <t>兩憶集</t>
  </si>
  <si>
    <t>剪紙民俗的文化闡釋：配圖本</t>
  </si>
  <si>
    <t>小麥的小人書</t>
  </si>
  <si>
    <t>傅維鱗與明書</t>
  </si>
  <si>
    <t>中國當代文學史</t>
  </si>
  <si>
    <t>中國當代文學概說</t>
  </si>
  <si>
    <t>秦簡牘書研究</t>
  </si>
  <si>
    <t>淮南子考論</t>
  </si>
  <si>
    <t>雜曲歌辭與雜歌謠辭研究</t>
  </si>
  <si>
    <t>中國倫理學史</t>
  </si>
  <si>
    <t>中國史綱</t>
  </si>
  <si>
    <t>文學史的多重面孔-八十年代文學事件再討論</t>
  </si>
  <si>
    <t>國學研究-第二十四卷</t>
  </si>
  <si>
    <t>中國古代政治文化研究</t>
  </si>
  <si>
    <t>朱熹詩教思想研究</t>
  </si>
  <si>
    <t>中國元素與廣告創意</t>
  </si>
  <si>
    <t>唐宋古文新探</t>
  </si>
  <si>
    <t>五四的歷史與歷史中的五四</t>
  </si>
  <si>
    <t>二十世紀中國史學史論</t>
  </si>
  <si>
    <t>孔子文學思想研究</t>
  </si>
  <si>
    <t>生態旅遊·太湖源模式</t>
  </si>
  <si>
    <t>人生的節氣</t>
  </si>
  <si>
    <t>觸摸歷史與進入五四</t>
  </si>
  <si>
    <t>經典七日談</t>
  </si>
  <si>
    <t>儒家的社會思想</t>
  </si>
  <si>
    <t>郭象《莊子注》研究</t>
  </si>
  <si>
    <t>中國人的生活世界-民俗學的路徑</t>
  </si>
  <si>
    <t>劉勰及其&lt;&lt;文心雕龍&gt;&gt;研究</t>
  </si>
  <si>
    <t>畫史心香-南北宗的畫史畫論淵源</t>
  </si>
  <si>
    <t>成器比成功更重要:孔子的人生時教</t>
  </si>
  <si>
    <t>用書鋪成的路</t>
  </si>
  <si>
    <t>生態烏托邦</t>
  </si>
  <si>
    <t>溯源與比較：當代海峽兩岸的小城小說</t>
  </si>
  <si>
    <t>中國古典散文精選注譯．史傳卷</t>
  </si>
  <si>
    <t>蒼涼寫就的華美</t>
  </si>
  <si>
    <t>中國文化通史 兩宋卷</t>
  </si>
  <si>
    <t>中國文化通史 遼西夏金元卷</t>
  </si>
  <si>
    <t>中國文化通史 明代卷</t>
  </si>
  <si>
    <t>中國文化通史 清前期卷</t>
  </si>
  <si>
    <t>解字說文-中國歷史文選研究</t>
  </si>
  <si>
    <t>中國藝術傳統研究</t>
  </si>
  <si>
    <t>個園_揚州畫舫新錄</t>
  </si>
  <si>
    <t>何園_揚州畫舫新錄</t>
  </si>
  <si>
    <t>瘦西湖_揚州畫舫新錄</t>
  </si>
  <si>
    <t>中國佛教藝術：第3輯</t>
  </si>
  <si>
    <t>中國文學與文化的傳統及變革</t>
  </si>
  <si>
    <t>晁公武 陳振孫評傳 : 中國思想家評傳叢書：典藏版</t>
  </si>
  <si>
    <t>班固評傳 : 中國思想家評傳叢書：典藏版</t>
  </si>
  <si>
    <t>司空圖評傳 : 中國思想家評傳叢書：典藏版</t>
  </si>
  <si>
    <t>賈思勰 王禎評傳 : 中國思想家評傳叢書：典藏版</t>
  </si>
  <si>
    <t>秦始皇-&lt;&lt;中國思想家評傳&gt;&gt;簡明讀本-中英文版</t>
  </si>
  <si>
    <t>古代百科學術與中國思想的發展</t>
  </si>
  <si>
    <t>司馬遷</t>
  </si>
  <si>
    <t>當代文學:建構與闡釋</t>
  </si>
  <si>
    <t>中國現代文學的歷史的文化透視</t>
  </si>
  <si>
    <t>精品讀庫：這十本書改變了世界</t>
  </si>
  <si>
    <t>武漢大學百年名典.《史通》箋注</t>
  </si>
  <si>
    <t>史記考索</t>
  </si>
  <si>
    <t>中國文學批評史大綱</t>
  </si>
  <si>
    <t>嘉靖前期詩壇研究(1522-1550)(武漢大學學術叢書</t>
  </si>
  <si>
    <t>20世紀的中國文學</t>
  </si>
  <si>
    <t>帝國啟示錄</t>
  </si>
  <si>
    <t>戰國楚簡地名輯證</t>
  </si>
  <si>
    <t>幽谷鳴秋—鳴蟲具收藏（彩）</t>
  </si>
  <si>
    <t>明代古玩鑒定</t>
  </si>
  <si>
    <t>唐五代詩考論</t>
  </si>
  <si>
    <t>先秦文學著述四種</t>
  </si>
  <si>
    <t>李世民管理日誌</t>
  </si>
  <si>
    <t>攝影技藝教程</t>
  </si>
  <si>
    <t>知識·權力·控制-基礎教育課程文化研究</t>
  </si>
  <si>
    <t>談話的歲月</t>
  </si>
  <si>
    <t>外國新聞傳播史導論</t>
  </si>
  <si>
    <t>一以當十</t>
  </si>
  <si>
    <t>中美新聞傳媒比較：生產·產業·實務</t>
  </si>
  <si>
    <t>中國文學中的商人世界</t>
  </si>
  <si>
    <t>歐美文學研究十論</t>
  </si>
  <si>
    <t>愛德華·R·默羅和美國廣播電視新聞業的誕生</t>
  </si>
  <si>
    <t>自由的歷程:美利堅圖史</t>
  </si>
  <si>
    <t>二十世紀西方文論選讀(上下)</t>
  </si>
  <si>
    <t>曼麗·象牙戒指</t>
  </si>
  <si>
    <t>20世紀中國文學與民間文化</t>
  </si>
  <si>
    <t>獻芹錄</t>
  </si>
  <si>
    <t>權力玩家：中國歷史上的大陰謀</t>
  </si>
  <si>
    <t>鮑鵬山新讀論語</t>
  </si>
  <si>
    <t>小說與詩歌的藝術智慧</t>
  </si>
  <si>
    <t>色難：孝順的故事</t>
  </si>
  <si>
    <t>中國當代作家面面觀——文學的自覺（上下冊）</t>
  </si>
  <si>
    <t>史學導論（修訂本）</t>
  </si>
  <si>
    <t>尋找他山的歷史</t>
  </si>
  <si>
    <t>三十功名塵與土</t>
  </si>
  <si>
    <t>多彩的旋律──中國女性文學主題研究</t>
  </si>
  <si>
    <t>詞文獻研究</t>
  </si>
  <si>
    <t>浮出歷史地表之前-中國現代女性寫作的發生</t>
  </si>
  <si>
    <t>酒文化與酒水管理</t>
  </si>
  <si>
    <t>週末讀完法國史</t>
  </si>
  <si>
    <t>江南文廟</t>
  </si>
  <si>
    <t>長江史話(中英文雙語版)(中華文明史話)</t>
  </si>
  <si>
    <t>人物中國．遠古至秦</t>
  </si>
  <si>
    <t>體育史話</t>
  </si>
  <si>
    <t>雜技史話</t>
  </si>
  <si>
    <t>古塔史話</t>
  </si>
  <si>
    <t>孔廟史話</t>
  </si>
  <si>
    <t>生活讓我如此感動</t>
  </si>
  <si>
    <t>魯迅的文化詩學</t>
  </si>
  <si>
    <t>化俗從雅文學觀的建立:朱自清與西方文藝思想關係研究</t>
  </si>
  <si>
    <t>現代中國的小城文化與小城文學</t>
  </si>
  <si>
    <t>被書寫現代：20世紀中國文學中的上海</t>
  </si>
  <si>
    <t>詩與唐代文言小說研究</t>
  </si>
  <si>
    <t>中國教育史</t>
  </si>
  <si>
    <t>烈火中的青春：69位元兵團列士尋訪紀錄</t>
  </si>
  <si>
    <t>莆仙文化述論</t>
  </si>
  <si>
    <t>孔子這個人與他所面對的問題</t>
  </si>
  <si>
    <t>最後的蘑菇房：元陽縣新街鎮箐口村哈尼族春民日記</t>
  </si>
  <si>
    <t>追尋逝去的火神：彌樂縣西三鎮可邑村*族撒尼支系村民日記</t>
  </si>
  <si>
    <t>&lt;&lt;呂氏春秋&gt;&gt;對社會秩序的理解與構建</t>
  </si>
  <si>
    <t>明清學術研究</t>
  </si>
  <si>
    <t>漢樂府女性題材審美論</t>
  </si>
  <si>
    <t>流動的信仰：貢山縣丙中洛鄉查臘村怒族村民日記</t>
  </si>
  <si>
    <t>中國畫學全史</t>
  </si>
  <si>
    <t>中國現代文學的身體闡釋</t>
  </si>
  <si>
    <t>36位著名學者縱論新中國發展60年</t>
  </si>
  <si>
    <t>《資治通鑒》十六國資料</t>
  </si>
  <si>
    <t>總結歷史  開闢未來　</t>
  </si>
  <si>
    <t>孔子儒學與經學</t>
  </si>
  <si>
    <t>美國電影的跨文化解讀</t>
  </si>
  <si>
    <t>舞臺下的評說</t>
  </si>
  <si>
    <t>歷史敘事傳統語境下的中國古典小說審美研究</t>
  </si>
  <si>
    <t>《漢書》單音節形容詞同義關係研究</t>
  </si>
  <si>
    <t>西藏舊事</t>
  </si>
  <si>
    <t>宋元講史話本研究</t>
  </si>
  <si>
    <t>中唐文論研究</t>
  </si>
  <si>
    <t>金戈鐵馬詩裏乾坤：漢魏晉南北軍事戰</t>
  </si>
  <si>
    <t>詩何以群——在審美文化與社會系統之間的行走</t>
  </si>
  <si>
    <t>晉唐兩宋江西小說史話</t>
  </si>
  <si>
    <t>博客營銷</t>
  </si>
  <si>
    <t>飲食紊亂</t>
  </si>
  <si>
    <t>危情時刻-中國歷史節點上的人和事</t>
  </si>
  <si>
    <t>神話與絕唱：張家界</t>
  </si>
  <si>
    <t>現代童話：杭州</t>
  </si>
  <si>
    <t>春風又綠兩江南：重慶</t>
  </si>
  <si>
    <t>民營經濟試驗田：溫州</t>
  </si>
  <si>
    <t>東方大港：寧波</t>
  </si>
  <si>
    <t>青春的城市：深圳</t>
  </si>
  <si>
    <t>北京新建築：全球頂尖建築實驗競技場</t>
  </si>
  <si>
    <t>戰國那些事兒</t>
  </si>
  <si>
    <t>漢朝那些事兒.第二卷</t>
  </si>
  <si>
    <t>歷史密碼--揭開歷史背後的神秘真相</t>
  </si>
  <si>
    <t>白壽蠡講歷史--明清卷</t>
  </si>
  <si>
    <t>少林鎮門拳</t>
  </si>
  <si>
    <t>踏歌尋典</t>
  </si>
  <si>
    <t>壯闊雄渾：秦漢雕塑藝術</t>
  </si>
  <si>
    <t>眾生百態：隋唐世俗繪畫</t>
  </si>
  <si>
    <t>世情畢現：兩宋人物畫</t>
  </si>
  <si>
    <t>方寸氣象:明清篆刻藝術</t>
  </si>
  <si>
    <t>繁華落盡:明清工藝拾零</t>
  </si>
  <si>
    <t>中國古代美術叢書.多元匯流元代工藝美術</t>
  </si>
  <si>
    <t>陶冶之美:明代瓷器典藏</t>
  </si>
  <si>
    <t>雷動星流</t>
  </si>
  <si>
    <t>天涯芳草</t>
  </si>
  <si>
    <t>中國古代美術叢書:畫聖餘韻</t>
  </si>
  <si>
    <t>宗臣史家</t>
  </si>
  <si>
    <t>品味西部</t>
  </si>
  <si>
    <t>詩裏乾坤</t>
  </si>
  <si>
    <t>洪洞廣勝寺</t>
  </si>
  <si>
    <t>中國古代美術叢書.玉出昆侖-明清玉器珍賞</t>
  </si>
  <si>
    <t>名家聖手:明清版畫藝術</t>
  </si>
  <si>
    <t>南田遺韻</t>
  </si>
  <si>
    <t>粵畫訪古</t>
  </si>
  <si>
    <t>佛山祖廟</t>
  </si>
  <si>
    <t>中國皮影藝術史</t>
  </si>
  <si>
    <t>金磚識錄</t>
  </si>
  <si>
    <t>千年夢華-中國古代陶瓷枕</t>
  </si>
  <si>
    <t>紀念西安碑林920周年華誕國際學術研討會論文集</t>
  </si>
  <si>
    <t>磁州窯畫枕上的故事</t>
  </si>
  <si>
    <t>大越遺珍 : 鴻山越墓文物菁華</t>
  </si>
  <si>
    <t>制勝之道--孫子兵法暨中國古代軍事文物精品展</t>
  </si>
  <si>
    <t>文物保護研究新論</t>
  </si>
  <si>
    <t>張竹坡與《金瓶梅》研究</t>
  </si>
  <si>
    <t>明拓魯峻碑</t>
  </si>
  <si>
    <t>鐘鼓樓</t>
  </si>
  <si>
    <t>張擇端《清明上河圖》(解讀國寶叢書)</t>
  </si>
  <si>
    <t>書法·裝飾·道：古代漢字書法裝飾之道</t>
  </si>
  <si>
    <t>郭沫若致容庚書簡</t>
  </si>
  <si>
    <t>寺廟北京</t>
  </si>
  <si>
    <t>千年夢華（第二編）：中國古代陶瓷枕</t>
  </si>
  <si>
    <t>百獅坊</t>
  </si>
  <si>
    <t>荊楚風流人物</t>
  </si>
  <si>
    <t>世說新寓</t>
  </si>
  <si>
    <t>國學基本教材：論語卷(Xiron)</t>
  </si>
  <si>
    <t>歌詠中華五千年</t>
  </si>
  <si>
    <t>兇手在路上-人性的另類解讀</t>
  </si>
  <si>
    <t>中國主流文化的戰略導向：明代個案研究</t>
  </si>
  <si>
    <t>地方志人物傳記資料叢刊．東北卷--人名索引</t>
  </si>
  <si>
    <t>稿本晉會要</t>
  </si>
  <si>
    <t>趙子昂詩集(全二冊)-中華再造善本</t>
  </si>
  <si>
    <t>中國少年兒童文獻分類主題詞表（兩冊）</t>
  </si>
  <si>
    <t>非書資料採訪工作手冊</t>
  </si>
  <si>
    <t>中國文化文物統計年鑒.2004</t>
  </si>
  <si>
    <t>版權制度下的數位資訊公共傳播</t>
  </si>
  <si>
    <t>資源數位化標準問題研究</t>
  </si>
  <si>
    <t>浮城繪</t>
  </si>
  <si>
    <t>MARC 21規範資料格式使用手冊</t>
  </si>
  <si>
    <t>知識服務模式與創新</t>
  </si>
  <si>
    <t>流年NO.1：古城，不能忘卻的紀念</t>
  </si>
  <si>
    <t>紅樓烈女</t>
  </si>
  <si>
    <t>紅樓義女</t>
  </si>
  <si>
    <t>紅樓悲歌</t>
  </si>
  <si>
    <t>紅樓之花</t>
  </si>
  <si>
    <t>以人為本  服務創新</t>
  </si>
  <si>
    <t>紅樓忠僕</t>
  </si>
  <si>
    <t>中國文化文物統計年鑒.2005</t>
  </si>
  <si>
    <t>樂府新編陽春白雪(全二冊)-中華再造善本</t>
  </si>
  <si>
    <t>縮微文獻著錄及機讀數據製作手冊</t>
  </si>
  <si>
    <t>帝都,行將消失的古韻</t>
  </si>
  <si>
    <t>21世紀的資訊資源編目第一屆全國文獻編目工作研討會論文集</t>
  </si>
  <si>
    <t>e印本文庫(e-print archive)建設與應用:開放存取運動典型策略研</t>
  </si>
  <si>
    <t>北京大學資訊管理系繼續教育50周年紀念文集</t>
  </si>
  <si>
    <t>城市圖書館新館建設</t>
  </si>
  <si>
    <t>北京古橋</t>
  </si>
  <si>
    <t>贏政大帝</t>
  </si>
  <si>
    <t>中國典籍與文化（第一輯）</t>
  </si>
  <si>
    <t>元亡明興--中國歷史大變局</t>
  </si>
  <si>
    <t>洛陽東漢黃腸石題銘研究</t>
  </si>
  <si>
    <t>八千卷樓書目(上中下)</t>
  </si>
  <si>
    <t>清史鏡鑒</t>
  </si>
  <si>
    <t>清史鏡鑒（第二輯）</t>
  </si>
  <si>
    <t>先秦經籍考（全二冊）</t>
  </si>
  <si>
    <t>民國期刊資料分類彙編--善本書題記</t>
  </si>
  <si>
    <t>北京古牆</t>
  </si>
  <si>
    <t>儒教、孔教、聖教三教稱名說</t>
  </si>
  <si>
    <t>儒經聖經說</t>
  </si>
  <si>
    <t>文化視野下的古代文學研究</t>
  </si>
  <si>
    <t>乾嘉文言小說研究</t>
  </si>
  <si>
    <t>文心雕龍散論</t>
  </si>
  <si>
    <t>山西師範大學圖書館古籍善本書目</t>
  </si>
  <si>
    <t>民營企業法律風險：識別與控制</t>
  </si>
  <si>
    <t>誰謀殺了大唐</t>
  </si>
  <si>
    <t>貧民爵士：艾倫·休格爵士傳記</t>
  </si>
  <si>
    <t>365個最可怕的風俗</t>
  </si>
  <si>
    <t>吳裕泰─品茶館</t>
  </si>
  <si>
    <t>論語的提醒</t>
  </si>
  <si>
    <t>三十六計的提醒</t>
  </si>
  <si>
    <t>讀故事學國學</t>
  </si>
  <si>
    <t>服飾風采</t>
  </si>
  <si>
    <t>墮落的花朵：站在審判席上的藝術</t>
  </si>
  <si>
    <t>漢代的一百個老百姓</t>
  </si>
  <si>
    <t>隋唐代的一百個老百姓</t>
  </si>
  <si>
    <t>宋代的一百個老百姓</t>
  </si>
  <si>
    <t>元代的一百個老百姓</t>
  </si>
  <si>
    <t>明代的一百個老百姓</t>
  </si>
  <si>
    <t>清代的一百個老百姓</t>
  </si>
  <si>
    <t>抗戰時期的一百個老百姓</t>
  </si>
  <si>
    <t>清史霸業之清王朝的締造者</t>
  </si>
  <si>
    <t>歷史視野中的實踐美學</t>
  </si>
  <si>
    <t>環城園亭夢蘇州</t>
  </si>
  <si>
    <t>中國常見貿易蘭花識別手冊</t>
  </si>
  <si>
    <t>1CD--從此醉</t>
  </si>
  <si>
    <t>在中國設計</t>
  </si>
  <si>
    <t>輕鬆幽默侃唐朝·潛龍在淵</t>
  </si>
  <si>
    <t>錦 月亮城堡</t>
  </si>
  <si>
    <t>四書與現代文化（諸子百家與現代文化）</t>
  </si>
  <si>
    <t>諸子人才觀與現代人才學（諸子百家與現代文</t>
  </si>
  <si>
    <t>十三世紀中國政治與文化危機</t>
  </si>
  <si>
    <t>草根宰相諸葛亮</t>
  </si>
  <si>
    <t>走下神壇的關羽</t>
  </si>
  <si>
    <t>三國群英新傳</t>
  </si>
  <si>
    <t>亦正亦邪看曹操</t>
  </si>
  <si>
    <t>千古風流話周瑜</t>
  </si>
  <si>
    <t>古墓魍影</t>
  </si>
  <si>
    <t>戊戌追殺令</t>
  </si>
  <si>
    <t>那一年的槍響 辛亥革命</t>
  </si>
  <si>
    <t>狼王法則</t>
  </si>
  <si>
    <t>秦帝國全天星合遺址及其源流考. 星圖分冊</t>
  </si>
  <si>
    <t>千秋功罪：金融風暴中的風雲人物</t>
  </si>
  <si>
    <t>中華民俗風情博覽:禮儀生活</t>
  </si>
  <si>
    <t>中華民俗風情博覽：美術工藝</t>
  </si>
  <si>
    <t>畫出來的論語</t>
  </si>
  <si>
    <t>清風入夢·怡殤.2</t>
  </si>
  <si>
    <t>何必淺碧輕紅色(Xiron)</t>
  </si>
  <si>
    <t>左手畢業證，右手工作證</t>
  </si>
  <si>
    <t>&lt;&lt;論語&gt;&gt;品讀</t>
  </si>
  <si>
    <t>興趣決定孩子的能力</t>
  </si>
  <si>
    <t>心態決定孩子的成就</t>
  </si>
  <si>
    <t>習慣決定孩子的素質</t>
  </si>
  <si>
    <t>晝夜之遠</t>
  </si>
  <si>
    <t>中國遠古管理思想史-傳說時期管理思想的萌芽</t>
  </si>
  <si>
    <t>宋元明清時期管理思想的承接-中國近古管理思想史</t>
  </si>
  <si>
    <t>雕塑（中國國粹藝術讀本)</t>
  </si>
  <si>
    <t>評書(中國國粹藝術讀本)</t>
  </si>
  <si>
    <t>黃梅戲(中國國粹藝術讀本)</t>
  </si>
  <si>
    <t>評劇(中國國粹藝術讀本)</t>
  </si>
  <si>
    <t>侗族音樂（中國國粹藝術讀本)</t>
  </si>
  <si>
    <t>世界100著名宗教建築</t>
  </si>
  <si>
    <t>國際服飾店堂陳列經典</t>
  </si>
  <si>
    <t>王羲之傳</t>
  </si>
  <si>
    <t>殘宵無夢到橫塘-郁達夫與王映霞的情愛世界</t>
  </si>
  <si>
    <t>韓非子傳奇(先秦諸子傳奇)</t>
  </si>
  <si>
    <t>明末四公子</t>
  </si>
  <si>
    <t>意境與空間——建築設計與思考</t>
  </si>
  <si>
    <t>與古為新 ——方塔園的規劃與設計</t>
  </si>
  <si>
    <t>墓之法老詛咒</t>
  </si>
  <si>
    <t>明代閩南四書學研究</t>
  </si>
  <si>
    <t>泰山</t>
  </si>
  <si>
    <t>雲岡石窟</t>
  </si>
  <si>
    <t>高句麗王城王陵及貴族墓葬</t>
  </si>
  <si>
    <t>殷墟</t>
  </si>
  <si>
    <t>碑刻書法百品 (西安)</t>
  </si>
  <si>
    <t>天壇</t>
  </si>
  <si>
    <t>20世紀西方人類學主要著作指南</t>
  </si>
  <si>
    <t>五四九十週年祭-一個問題史的回溯與反思</t>
  </si>
  <si>
    <t>你正在被催眠</t>
  </si>
  <si>
    <t>蘇州古典園林</t>
  </si>
  <si>
    <t>實用臨床藥物手冊</t>
  </si>
  <si>
    <t>1CD-蝴蝶公墓</t>
  </si>
  <si>
    <t>山河入夢</t>
  </si>
  <si>
    <t>讓歷史復活</t>
  </si>
  <si>
    <t>一個女人的史詩</t>
  </si>
  <si>
    <t>飾品十字繡</t>
  </si>
  <si>
    <t>乾隆大藏經</t>
  </si>
  <si>
    <t>中國小說研究(大眾國學叢書)</t>
  </si>
  <si>
    <t>不錯---文化糾錯叢書精華本</t>
  </si>
  <si>
    <t>回眸絕美的瞬間</t>
  </si>
  <si>
    <t>笑傾三國</t>
  </si>
  <si>
    <t>東漢那些事兒.第1卷，布衣天子的崛起</t>
  </si>
  <si>
    <t>聞夕城：奇異咖啡屋</t>
  </si>
  <si>
    <t>喜慶堂會：舊京壽慶禮俗</t>
  </si>
  <si>
    <t>書畫趣謎</t>
  </si>
  <si>
    <t>中唐詩歌嬗變的民俗觀照</t>
  </si>
  <si>
    <t>英國漢學史</t>
  </si>
  <si>
    <t>湘西民間工藝美術精粹</t>
  </si>
  <si>
    <t>中國畫壇 9</t>
  </si>
  <si>
    <t>三山五園舊影</t>
  </si>
  <si>
    <t>中國現代小說的市井?事</t>
  </si>
  <si>
    <t>漢語詩歌文化學</t>
  </si>
  <si>
    <t>中國宮苑園林史考</t>
  </si>
  <si>
    <t>中國石道</t>
  </si>
  <si>
    <t>海澱老街巷胡同尋蹤</t>
  </si>
  <si>
    <t>歷代畫家畫論典籍叢刊(一函三冊)</t>
  </si>
  <si>
    <t>古典詩詞論稿</t>
  </si>
  <si>
    <t>丹稜擷貝-京西出土文物品鑒</t>
  </si>
  <si>
    <t>中國歷史大講堂-清朝史話</t>
  </si>
  <si>
    <t>獵獵大風歌 秦漢卷</t>
  </si>
  <si>
    <t>沖天胡氣透長安 隋唐五代卷</t>
  </si>
  <si>
    <t>中國歷史大講堂·元朝大事本末</t>
  </si>
  <si>
    <t>國學大講堂·孟子導讀</t>
  </si>
  <si>
    <t>國學大講堂·墨子導讀</t>
  </si>
  <si>
    <t>國學大講堂(二)—日知錄導讀</t>
  </si>
  <si>
    <t>國學大講堂(二)—朱熹集導讀</t>
  </si>
  <si>
    <t>國學大講堂·韓愈文集導讀</t>
  </si>
  <si>
    <t>國學大講堂·關漢卿戲曲集導讀</t>
  </si>
  <si>
    <t>國學大講堂·天工開物導讀</t>
  </si>
  <si>
    <t>國學大講堂·韓非子導讀</t>
  </si>
  <si>
    <t>國學大講堂·商君書導讀</t>
  </si>
  <si>
    <t>中國歷史大講堂.秦漢史十二講</t>
  </si>
  <si>
    <t>中國讀本：中國古代紡織與印染</t>
  </si>
  <si>
    <t>中國讀本--中國思想史話</t>
  </si>
  <si>
    <t>清史論叢</t>
  </si>
  <si>
    <t>中國讀本-中國戲曲文化</t>
  </si>
  <si>
    <t>中國讀本：中國岩畫·貴州</t>
  </si>
  <si>
    <t>中國讀本-中國古代軍事</t>
  </si>
  <si>
    <t>中國讀本：中國古代遊藝</t>
  </si>
  <si>
    <t>考古中國：流沙疑塚</t>
  </si>
  <si>
    <t>打開北朝之門</t>
  </si>
  <si>
    <t>中國讀本：中國古代戲曲</t>
  </si>
  <si>
    <t>西城長歌：樓蘭</t>
  </si>
  <si>
    <t>晚清的裙帶政治</t>
  </si>
  <si>
    <t>國學經典導讀：日知錄</t>
  </si>
  <si>
    <t>中國讀本：中國古代體育</t>
  </si>
  <si>
    <t>努爾哈赤</t>
  </si>
  <si>
    <t>流傳千年的聖經故事</t>
  </si>
  <si>
    <t>成吉思汗的大元攻略</t>
  </si>
  <si>
    <t>康熙的人生謀略</t>
  </si>
  <si>
    <t>朱元璋的安邦智略</t>
  </si>
  <si>
    <t>中國文化與中國設計十講</t>
  </si>
  <si>
    <t>正在消逝的雲南奇景</t>
  </si>
  <si>
    <t>中國最美的200個經典神話.創世神話卷</t>
  </si>
  <si>
    <t>中國最美的200個經典神話.文化神話卷</t>
  </si>
  <si>
    <t>中國最美的200個經典神話.英雄神話卷</t>
  </si>
  <si>
    <t>中國民間美術─人文中國書系</t>
  </si>
  <si>
    <t>中國節日─人文中國書系</t>
  </si>
  <si>
    <t>中國傳統工藝</t>
  </si>
  <si>
    <t>龍墩上的悖論:中國皇帝命運大思考</t>
  </si>
  <si>
    <t>國際象棋殘局理論與技巧</t>
  </si>
  <si>
    <t>原來.幸福就在轉角處</t>
  </si>
  <si>
    <t>風箏和毽球</t>
  </si>
  <si>
    <t>民間工藝美術</t>
  </si>
  <si>
    <t>中國古代傳記</t>
  </si>
  <si>
    <t>雞王雄風</t>
  </si>
  <si>
    <t>踞地鬥蟋蟀</t>
  </si>
  <si>
    <t>典當</t>
  </si>
  <si>
    <t>掃描北京之東城-紫金逝影</t>
  </si>
  <si>
    <t>讀文閱人</t>
  </si>
  <si>
    <t>大漢盛世</t>
  </si>
  <si>
    <t>大清盛世</t>
  </si>
  <si>
    <t>孕產婦飲食調養</t>
  </si>
  <si>
    <t>醫學心理學-第2版</t>
  </si>
  <si>
    <t>第二次世界大戰：東線戰場</t>
  </si>
  <si>
    <t>中國女權概念的變遷：清末民初的人權和社會性別</t>
  </si>
  <si>
    <t>談狐說鬼話《聊齋》(中國社會科學院老年學者文庫)</t>
  </si>
  <si>
    <t>戊戌變法與晚清思想文化轉型</t>
  </si>
  <si>
    <t>中國多文字時代的歷史文獻研究</t>
  </si>
  <si>
    <t>全球大變暖 氣候經濟、政治與倫理</t>
  </si>
  <si>
    <t>企業軟實力與聲譽管理</t>
  </si>
  <si>
    <t>北京卷-中國城市文化消費報告</t>
  </si>
  <si>
    <t>清朝對外體制研究</t>
  </si>
  <si>
    <t>碳減排:中國經驗-基於清潔發展機制的考察</t>
  </si>
  <si>
    <t>中國.美國和歐盟氣候政策分析</t>
  </si>
  <si>
    <t>2010年率先轉型中的長三角-2010版</t>
  </si>
  <si>
    <t>2009-2010-綠色促進計畫與綠色城市圈-武漢城市圈藍皮書……</t>
  </si>
  <si>
    <t>追尋遠古　釋秘現代-人類學文化學論集</t>
  </si>
  <si>
    <t>中國女性文化-2010年第1期總NO.12</t>
  </si>
  <si>
    <t>中國餐飲產業發展報告 2010</t>
  </si>
  <si>
    <t>中國社會變遷:60年回顧與思考-中國社會學會……</t>
  </si>
  <si>
    <t>2009-2010-全球城市競爭力報告-創新 城市競爭力不竭之源</t>
  </si>
  <si>
    <t>清末民初人權思想的肇始與嬗變：1840-1912</t>
  </si>
  <si>
    <t>蠶桑絲綢史話 : 中國史話·物質文明系列</t>
  </si>
  <si>
    <t>絕密檔案背後的傳奇. 1</t>
  </si>
  <si>
    <t>1949-2009-中國共產黨與當代中國外交</t>
  </si>
  <si>
    <t>絕密檔案：背後的傳奇（二）</t>
  </si>
  <si>
    <t>完整的成長-兒童生命的自我創造</t>
  </si>
  <si>
    <t>最後的紳士</t>
  </si>
  <si>
    <t>職場小菜奔!奔!奔!-趣味心理故事繪</t>
  </si>
  <si>
    <t>微鹽大義-雲南諾鄧鹽業的歷史人類學考察</t>
  </si>
  <si>
    <t>歷史與神聖性：歷史人類學散論集</t>
  </si>
  <si>
    <t>轉角遇見心理學家</t>
  </si>
  <si>
    <t>金仙長公主 成王妃慕容真如海 于遂古墓誌</t>
  </si>
  <si>
    <t>天朝崛起</t>
  </si>
  <si>
    <t>品國學.悟人生</t>
  </si>
  <si>
    <t>品國學.論處世</t>
  </si>
  <si>
    <t>孔子思想</t>
  </si>
  <si>
    <t>謀漢-謀說天下</t>
  </si>
  <si>
    <t>謀唐-謀說天下</t>
  </si>
  <si>
    <t>謀宋-謀說天下</t>
  </si>
  <si>
    <t>謀元-謀說天下</t>
  </si>
  <si>
    <t>謀明-謀說天下</t>
  </si>
  <si>
    <t>這就是元史</t>
  </si>
  <si>
    <t>盜墓迷局</t>
  </si>
  <si>
    <t>西域不只是傳說1－初開玉門</t>
  </si>
  <si>
    <t>轉型社會中的中國共產黨</t>
  </si>
  <si>
    <t>邊緣遊走:中國現代文學分析</t>
  </si>
  <si>
    <t>民俗文化研究</t>
  </si>
  <si>
    <t>槎溪藝菊志（一函四冊）</t>
  </si>
  <si>
    <t>小小西遊：盤絲洞鬥七妖 幼兒版</t>
  </si>
  <si>
    <t>溫馨綠色卷-經典童話</t>
  </si>
  <si>
    <t>屠格涅夫卷-文學大師的短篇小說集-名家名譯插圖本</t>
  </si>
  <si>
    <t>松柏石瀑白描集萃</t>
  </si>
  <si>
    <t>天津人民美術出版社50周年社慶書畫作品集</t>
  </si>
  <si>
    <t>于慶成 泥塑藝術：紀念天津建城600周年</t>
  </si>
  <si>
    <t>餐館 茶館 咖啡廳－小型商業空間設計圖集</t>
  </si>
  <si>
    <t>歌舞廳 酒廊 洗浴中心－小型商業空間設計圖集</t>
  </si>
  <si>
    <t>茶樓 酒吧 西餐廳－小型商業空間設計圖集</t>
  </si>
  <si>
    <t>商業門面專賣店－小型商業空間設計圖集</t>
  </si>
  <si>
    <t>展示中心 洽談中心－小型商業空間設計圖集</t>
  </si>
  <si>
    <t>酒店藝術陳設品設計與製作－小型商業空間設計圖集</t>
  </si>
  <si>
    <t>國外店鋪門面及內裝修－小型商業空間設計圖集</t>
  </si>
  <si>
    <t>酒店標識系統設計與製作－小型商業空間設計圖集</t>
  </si>
  <si>
    <t>白描花卉課堂教程</t>
  </si>
  <si>
    <t>油畫創作課堂教程</t>
  </si>
  <si>
    <t>裝飾藝術設計</t>
  </si>
  <si>
    <t>設計色彩課堂教程</t>
  </si>
  <si>
    <t>設計效果圖課堂教程</t>
  </si>
  <si>
    <t>創意百體美術字</t>
  </si>
  <si>
    <t>中外名人漫畫－張曉冬作品選</t>
  </si>
  <si>
    <t>燈具設計</t>
  </si>
  <si>
    <t>鑒藏生肖飾品</t>
  </si>
  <si>
    <t>高考設計經典</t>
  </si>
  <si>
    <t>廣告設計課堂教程</t>
  </si>
  <si>
    <t>服裝效果圖課堂教程</t>
  </si>
  <si>
    <t>鼎盛36家圖卷</t>
  </si>
  <si>
    <t>鑒藏銅墨水匣</t>
  </si>
  <si>
    <t>鑒藏如意</t>
  </si>
  <si>
    <t>字體要點分析</t>
  </si>
  <si>
    <t>設計過程分析</t>
  </si>
  <si>
    <t>中國繪畫發展史（上下）</t>
  </si>
  <si>
    <t>中國烙畫技法</t>
  </si>
  <si>
    <t>理性與浪漫的交織</t>
  </si>
  <si>
    <t>古建春秋</t>
  </si>
  <si>
    <t>一大一小</t>
  </si>
  <si>
    <t>逗你沒商量</t>
  </si>
  <si>
    <t>中國民間剪紙藝術史話</t>
  </si>
  <si>
    <t>順治皇帝</t>
  </si>
  <si>
    <t>騰空出世--毛澤東的青春歲月</t>
  </si>
  <si>
    <t>跟著美術大師漫步</t>
  </si>
  <si>
    <t>天下民生-最受當代青年喜歡的精美散文</t>
  </si>
  <si>
    <t>謝冰瑩散文選集</t>
  </si>
  <si>
    <t>郁達夫散文選集</t>
  </si>
  <si>
    <t>徐志摩散文選集</t>
  </si>
  <si>
    <t>開拓視野-最受當代青年喜歡的精美散文</t>
  </si>
  <si>
    <t>保值璽印</t>
  </si>
  <si>
    <t>奇石雅記</t>
  </si>
  <si>
    <t>文學史學的明清小說研究</t>
  </si>
  <si>
    <t>一百里間春似海</t>
  </si>
  <si>
    <t>在唐詩的故鄉</t>
  </si>
  <si>
    <t>十二濯香令</t>
  </si>
  <si>
    <t>大秦霸業</t>
  </si>
  <si>
    <t>墓誌銘集-中國古代名碑名帖-(上)</t>
  </si>
  <si>
    <t>飛機場</t>
  </si>
  <si>
    <t>山長水闊知何處</t>
  </si>
  <si>
    <t>經典重訪：與中國最具影響力的記錄片導演對話</t>
  </si>
  <si>
    <t>上海猶太城</t>
  </si>
  <si>
    <t>忽必烈大帝與察宓皇后-從遊牧汗國到大王朝</t>
  </si>
  <si>
    <t>祝君波談收藏</t>
  </si>
  <si>
    <t>招貼設計速查手冊</t>
  </si>
  <si>
    <t>1CD--中國設計史</t>
  </si>
  <si>
    <t>北京-文明與輝煌</t>
  </si>
  <si>
    <t>揚州美容工藝技術</t>
  </si>
  <si>
    <t>媽媽寶貝——漂亮孕媽媽</t>
  </si>
  <si>
    <t>名碑善本：故宮博物院藏文物珍品大系</t>
  </si>
  <si>
    <t>名碑十品：故宮博物院藏文物珍品大系</t>
  </si>
  <si>
    <t>金匱要略通俗講話 湛園醫話</t>
  </si>
  <si>
    <t>賦學概論</t>
  </si>
  <si>
    <t>鏡花緣</t>
  </si>
  <si>
    <t>呂後：宮廷玩偶</t>
  </si>
  <si>
    <t>遼金元文學史案</t>
  </si>
  <si>
    <t>中國詩學研究.第3輯，遼金詩學研究專輯</t>
  </si>
  <si>
    <t>&lt;墨子&gt;選評</t>
  </si>
  <si>
    <t>傳播學研究集刊.3</t>
  </si>
  <si>
    <t>文本實踐與身份辨識：中國基督徒知識份子的中文著述:1583-1949</t>
  </si>
  <si>
    <t>全球化與人文學術的發展</t>
  </si>
  <si>
    <t>老上海的當鋪與當票</t>
  </si>
  <si>
    <t>廣東會館論稿</t>
  </si>
  <si>
    <t>滂喜齋藏書記:寶禮堂宋本書錄</t>
  </si>
  <si>
    <t>上古文學中君臣事象的研究</t>
  </si>
  <si>
    <t>啟動傳統-尋求中國古代文論的生長點</t>
  </si>
  <si>
    <t>趣味地理：插圖本</t>
  </si>
  <si>
    <t>天一閣明州碑林集錄</t>
  </si>
  <si>
    <t>清初清詞選本考論</t>
  </si>
  <si>
    <t>清詞的傳承與開拓</t>
  </si>
  <si>
    <t>《近思錄》版本與傳播研究</t>
  </si>
  <si>
    <t>孟子：人性的光輝</t>
  </si>
  <si>
    <t>周禮：遠古的理想</t>
  </si>
  <si>
    <t>論語：仁者的教誨</t>
  </si>
  <si>
    <t>歷史上的大謀殺：插圖本</t>
  </si>
  <si>
    <t>順康之際廣陵詞壇研究</t>
  </si>
  <si>
    <t>南北朝經學史</t>
  </si>
  <si>
    <t>南宋繪畫史</t>
  </si>
  <si>
    <t>南宋戲曲史(南宋史研究叢書)</t>
  </si>
  <si>
    <t>中國古佚書輯本目錄解題</t>
  </si>
  <si>
    <t>明代詞學之建構</t>
  </si>
  <si>
    <t>北宋詞風嬗變與文學思潮</t>
  </si>
  <si>
    <t>禮儀的交織--明末清初中歐文化交流中的喪葬禮</t>
  </si>
  <si>
    <t>韓非子帝王的法術</t>
  </si>
  <si>
    <t>大變局下的晚清政治</t>
  </si>
  <si>
    <t>簡帛(第4輯)</t>
  </si>
  <si>
    <t>楊明卷-漢唐文學研賞集</t>
  </si>
  <si>
    <t>中國歷代劇論選注</t>
  </si>
  <si>
    <t>韓世忠傳</t>
  </si>
  <si>
    <t>&lt;&lt;清詩別裁集&gt;&gt;研究</t>
  </si>
  <si>
    <t>唐宋史論叢</t>
  </si>
  <si>
    <t>文學與商人：傳統中國商人的文學呈現</t>
  </si>
  <si>
    <t>蘭亭序印譜</t>
  </si>
  <si>
    <t>通往中興之路--思想文化視域中的宋南渡詩壇</t>
  </si>
  <si>
    <t>老上海珍檔秘聞</t>
  </si>
  <si>
    <t>《論語》十日談</t>
  </si>
  <si>
    <t>雅玩門</t>
  </si>
  <si>
    <t>儒家文化與現代人的精神生活：與孔子對話</t>
  </si>
  <si>
    <t>潘朵拉的匣子——女性意識的覺醒</t>
  </si>
  <si>
    <t>籬外的春天——中國女性與近現代文明的</t>
  </si>
  <si>
    <t>麵包與玫瑰——女性權利的解釋與實現</t>
  </si>
  <si>
    <t>小玩意（復旦─哈佛當代人類學叢書）</t>
  </si>
  <si>
    <t>全球藥物（復旦─哈佛當代人類學叢書）</t>
  </si>
  <si>
    <t>儒家文化大眾讀本：儒風華雨潤異城——儒家文化與世界</t>
  </si>
  <si>
    <t>儒家文化大眾讀本：澤及草木 恩至水土——儒家生態文化</t>
  </si>
  <si>
    <t>儒家文化大眾讀本：應天理 順人情——儒家法文化</t>
  </si>
  <si>
    <t>儒家文化大眾讀本：文明薪火賴傳承——儒家文化與中國古代教育</t>
  </si>
  <si>
    <t>儒家文化大眾讀本：與權力對話——儒家政治文化</t>
  </si>
  <si>
    <t>燕趙藝術地理</t>
  </si>
  <si>
    <t>實用文玩收藏指南：奇石</t>
  </si>
  <si>
    <t>實用文玩收藏指南：銅鏡</t>
  </si>
  <si>
    <t>實用文玩收藏指南：傢俱</t>
  </si>
  <si>
    <t>圖說山東——孔子文化</t>
  </si>
  <si>
    <t>琴-大俠周銳寫中國</t>
  </si>
  <si>
    <t>棋-大俠周銳寫中國</t>
  </si>
  <si>
    <t>聊齋文化旅遊叢書淄川旅遊文化</t>
  </si>
  <si>
    <t>聊齋文化旅遊叢書淄川民間藝術</t>
  </si>
  <si>
    <t>聊齋文化旅遊叢書聊齋文化概覽</t>
  </si>
  <si>
    <t>聊齋文化旅遊叢書淄川陶瓷文化</t>
  </si>
  <si>
    <t>聊齋文化旅遊叢書淄川民間故事</t>
  </si>
  <si>
    <t>聊齋文化旅遊叢書淄川風光名勝</t>
  </si>
  <si>
    <t>見證滄桑_現存古建築風采</t>
  </si>
  <si>
    <t>藝術學導論</t>
  </si>
  <si>
    <t>中國古典文獻學</t>
  </si>
  <si>
    <t>中國當代小說情愛敘事研究(文史哲博士文叢)</t>
  </si>
  <si>
    <t>花間集 接受史研究(文史哲博士文叢)</t>
  </si>
  <si>
    <t>現代中國文學沉思錄</t>
  </si>
  <si>
    <t>清代彈詞研究</t>
  </si>
  <si>
    <t>儒家倫理與《春秋》?事</t>
  </si>
  <si>
    <t>杜集敘錄</t>
  </si>
  <si>
    <t>先哲教我們生活．西方卷</t>
  </si>
  <si>
    <t>先秦人物</t>
  </si>
  <si>
    <t>二十四卷抄本聊齋志異</t>
  </si>
  <si>
    <t>關東魯商</t>
  </si>
  <si>
    <t>《史記》與民族精神</t>
  </si>
  <si>
    <t>齊魯文化與明清小說</t>
  </si>
  <si>
    <t>齊魯文人與六朝文風</t>
  </si>
  <si>
    <t>齊魯文化與中國古代文學研究叢書—齊魯典籍與小說濫觴</t>
  </si>
  <si>
    <t>《詩經.齊風》研究</t>
  </si>
  <si>
    <t>聊齋風俗文化論</t>
  </si>
  <si>
    <t>中國古代文化史論</t>
  </si>
  <si>
    <t>孟子譯注</t>
  </si>
  <si>
    <t>墨經訓釋</t>
  </si>
  <si>
    <t>晏子春秋譯注</t>
  </si>
  <si>
    <t>顏氏家訓譯注</t>
  </si>
  <si>
    <t>漢語春秋:中國古典人文意象隨筆</t>
  </si>
  <si>
    <t>齊魯樂語</t>
  </si>
  <si>
    <t>漢賦文化學</t>
  </si>
  <si>
    <t>唐朝開國六十年</t>
  </si>
  <si>
    <t>互通‧因襲‧衍化—宋元小說、講唱與戲曲關係研究</t>
  </si>
  <si>
    <t>漢朝開國六十年</t>
  </si>
  <si>
    <t>王禹偁評傳</t>
  </si>
  <si>
    <t>清朝開國六十年</t>
  </si>
  <si>
    <t>明朝開國六十年</t>
  </si>
  <si>
    <t>宋朝開國六十年</t>
  </si>
  <si>
    <t>《水滸傳》詮釋史論</t>
  </si>
  <si>
    <t>譯注篇-&lt;&lt;周氏冥通記&gt;&gt;研究</t>
  </si>
  <si>
    <t>漢唐孟子學述論</t>
  </si>
  <si>
    <t>懸念康熙陵</t>
  </si>
  <si>
    <t>存在之鏡與智慧之燈中國當代小說?事及美學研究</t>
  </si>
  <si>
    <t>歷史與思想</t>
  </si>
  <si>
    <t>蘭花新品精品</t>
  </si>
  <si>
    <t>理念、創作與批判—20世紀中國文學綜論</t>
  </si>
  <si>
    <t>遠去的群落</t>
  </si>
  <si>
    <t>最後的皇權(1894-1924)</t>
  </si>
  <si>
    <t>非常歷史：二十五史六十六帝</t>
  </si>
  <si>
    <t>立體構成</t>
  </si>
  <si>
    <t>編織世界.刺繡篇</t>
  </si>
  <si>
    <t>孟子</t>
  </si>
  <si>
    <t>穿越中國當代文學</t>
  </si>
  <si>
    <t>六十年中國剪紙經典</t>
  </si>
  <si>
    <t>中國神話與小說</t>
  </si>
  <si>
    <t>銅琵鐵琶與紅牙象板　</t>
  </si>
  <si>
    <t>新文學(第四輯)</t>
  </si>
  <si>
    <t>中國經濟經典的文化邏輯　</t>
  </si>
  <si>
    <t>文學經典中的眾生之相</t>
  </si>
  <si>
    <t>甲胄復原研究</t>
  </si>
  <si>
    <t>全宋筆記 第四編（全10冊）</t>
  </si>
  <si>
    <t>尋根寄語:名家墨寶　</t>
  </si>
  <si>
    <t>學林清話</t>
  </si>
  <si>
    <t>古代治家經典的現代閱讀</t>
  </si>
  <si>
    <t>歷史從殿堂走向民間</t>
  </si>
  <si>
    <t>漫說梅蘭芳</t>
  </si>
  <si>
    <t>繪畫與文學</t>
  </si>
  <si>
    <t>中國影戲特徵及其姊妹藝術</t>
  </si>
  <si>
    <t>中華豐碑</t>
  </si>
  <si>
    <t>中國古代跳舞史</t>
  </si>
  <si>
    <t>千古之謎曹操高陵</t>
  </si>
  <si>
    <t>鑒別草根─中國民間美術分類研究</t>
  </si>
  <si>
    <t>大清歷史新聞. 康熙卷. 3</t>
  </si>
  <si>
    <t>大清歷史新聞. 康熙卷. 4</t>
  </si>
  <si>
    <t>大清歷史新聞. 康熙卷. 5</t>
  </si>
  <si>
    <t>大清歷史新聞. 雍正卷. 6</t>
  </si>
  <si>
    <t>大清歷史新聞. 乾隆卷. 7</t>
  </si>
  <si>
    <t>大清歷史新聞. 乾隆卷. 8</t>
  </si>
  <si>
    <t>大清歷史新聞. 嘉道卷. 9</t>
  </si>
  <si>
    <t>大清歷史新聞. 同光卷. 11</t>
  </si>
  <si>
    <t>大清歷史新聞. 光宣卷. 12</t>
  </si>
  <si>
    <t>中國書畫史會要</t>
  </si>
  <si>
    <t>捧著一顆心來憶蕭士棟先生</t>
  </si>
  <si>
    <t>光緒二十九年(1903)小說研究</t>
  </si>
  <si>
    <t>唐宋名家文集．蘇轍集</t>
  </si>
  <si>
    <t>新編全本印光法師文鈔</t>
  </si>
  <si>
    <t>墨蹟</t>
  </si>
  <si>
    <t>溫柔的嘹亮</t>
  </si>
  <si>
    <t>敢自嘲者真名士</t>
  </si>
  <si>
    <t>陪你到最後</t>
  </si>
  <si>
    <t>中國現代小說流派史（增訂本）</t>
  </si>
  <si>
    <t>直到最後一句</t>
  </si>
  <si>
    <t>2009年中國報告文學精選</t>
  </si>
  <si>
    <t>錦葵</t>
  </si>
  <si>
    <t>為了兒童的文學--金波兒童文學評論集</t>
  </si>
  <si>
    <t>餘震：英國當代藝術展1990～2006</t>
  </si>
  <si>
    <t>橋隆飆連環畫收藏本(全套6冊)</t>
  </si>
  <si>
    <t>打開醫學之門</t>
  </si>
  <si>
    <t>玉溪年華</t>
  </si>
  <si>
    <t>易學離</t>
  </si>
  <si>
    <t>駱承烈談孔子</t>
  </si>
  <si>
    <t>灰皮書，黃皮書</t>
  </si>
  <si>
    <t>中國符號文化：琴書樂道</t>
  </si>
  <si>
    <t>中國符號文化：南方有台</t>
  </si>
  <si>
    <t>中國符號文化：風雲際會</t>
  </si>
  <si>
    <t>中國符號文化：板橋道情</t>
  </si>
  <si>
    <t>珍腴記-上下冊</t>
  </si>
  <si>
    <t>人文之聲 : 何香凝美術館學術講座集粹(上下冊)</t>
  </si>
  <si>
    <t>黃梅雨</t>
  </si>
  <si>
    <t>非洲藝術書系--埃及 (7)</t>
  </si>
  <si>
    <t>中國臺壇(中國歷代人文景觀-叢書)</t>
  </si>
  <si>
    <t>盛世唐朝之誰是李世民（上）</t>
  </si>
  <si>
    <t>盛世唐朝之誰是李世民（下）</t>
  </si>
  <si>
    <t>熊貓史詩</t>
  </si>
  <si>
    <t>超越雅俗</t>
  </si>
  <si>
    <t>走進名校走近新疆高考狀元</t>
  </si>
  <si>
    <t>絲路之謎民俗風情的故事</t>
  </si>
  <si>
    <t>絲路之謎地名的故事</t>
  </si>
  <si>
    <t>天厚集</t>
  </si>
  <si>
    <t>兒歌集-大班</t>
  </si>
  <si>
    <t>兒歌集-中班</t>
  </si>
  <si>
    <t>會話集</t>
  </si>
  <si>
    <t>故事集-大班</t>
  </si>
  <si>
    <t>故事集</t>
  </si>
  <si>
    <t>貝貝熊系列叢書(2)小霸王</t>
  </si>
  <si>
    <t>貝貝熊系列叢書(3)學校的煩惱</t>
  </si>
  <si>
    <t>貝貝熊系列叢書(4)科學飲食</t>
  </si>
  <si>
    <t>貝貝熊系列叢書(6)錢的學問</t>
  </si>
  <si>
    <t>貝貝熊系列叢書(7)朋友之交</t>
  </si>
  <si>
    <t>貝貝熊系列叢書(9)電視迷</t>
  </si>
  <si>
    <t>貝貝熊系列叢書(11)受人冷落</t>
  </si>
  <si>
    <t>貝貝熊系列叢書(12)凌亂的房間</t>
  </si>
  <si>
    <t>貝貝熊系列叢書(13)傻大膽兒</t>
  </si>
  <si>
    <t>貝貝熊系列叢書(15)噩夢</t>
  </si>
  <si>
    <t>貝貝熊系列叢書(17)對待陌生人</t>
  </si>
  <si>
    <t>貝貝熊系列叢書(18)新鄰居</t>
  </si>
  <si>
    <t>貝貝熊系列叢書(19)南瓜比賽</t>
  </si>
  <si>
    <t>貝貝熊系列叢書(20)作業的煩惱</t>
  </si>
  <si>
    <t>貝貝熊系列叢書(22)難忘的假日</t>
  </si>
  <si>
    <t>貝貝熊系列叢書(23)禮貌待人</t>
  </si>
  <si>
    <t>貝貝熊系列叢書(24)怕黑</t>
  </si>
  <si>
    <t>貝貝熊系列叢書(28)在奶奶家</t>
  </si>
  <si>
    <t>貝貝熊系列叢書(29)搬家</t>
  </si>
  <si>
    <t>精神焦慮症的自救-演講訪談卷</t>
  </si>
  <si>
    <t>好餓的老狼和豬的小鎮</t>
  </si>
  <si>
    <t>不可不知的阿凡提經典故事</t>
  </si>
  <si>
    <t>寶貝的第一本經典名著-三劍客</t>
  </si>
  <si>
    <t>寶貝的第一本經典名著-秘密花園</t>
  </si>
  <si>
    <t>寶貝的第一本經典名著-孤雛淚</t>
  </si>
  <si>
    <t>寶貝的第一本經典名著-天方夜譚</t>
  </si>
  <si>
    <t>寶貝的第一本經典名著-小木偶</t>
  </si>
  <si>
    <t>寶貝的第一本經典名著-伊索寓言</t>
  </si>
  <si>
    <t>寶貝的第一本經典名著-小婦人</t>
  </si>
  <si>
    <t>寶貝的第一本經典名著-羅賓漢</t>
  </si>
  <si>
    <t>寶貝的第一本經典名著-小公主</t>
  </si>
  <si>
    <t>美麗的夢想</t>
  </si>
  <si>
    <t>阿凡提經典故事繪本系列 要什麼就給你什麼</t>
  </si>
  <si>
    <t>阿凡提經典故事繪本系列 像驢尾巴一樣多</t>
  </si>
  <si>
    <t>貝貝熊系列叢書(41)找回輕鬆</t>
  </si>
  <si>
    <t>貝貝熊系列叢書(39)成績單大麻煩</t>
  </si>
  <si>
    <t>貝貝熊系列叢書(49)自己試試看</t>
  </si>
  <si>
    <t>貝貝熊系列叢書(47)自己做做看</t>
  </si>
  <si>
    <t>貝貝熊系列叢書(48)自己畫畫看</t>
  </si>
  <si>
    <t>貝貝熊系列叢書(44)抱抱別生氣</t>
  </si>
  <si>
    <t>貝貝熊系列叢書(34)麻煩的家務活</t>
  </si>
  <si>
    <t>貝貝熊系列叢書(33)看牙醫</t>
  </si>
  <si>
    <t>貝貝熊系列叢書(40)學會理財</t>
  </si>
  <si>
    <t>貝貝熊系列叢書(50)自己種種看</t>
  </si>
  <si>
    <t>貝貝熊系列叢書(31)睡袋晚會</t>
  </si>
  <si>
    <t>貝貝熊系列叢書(35)睡前大戰</t>
  </si>
  <si>
    <t>貝貝熊系列叢書(36)玩具迷</t>
  </si>
  <si>
    <t>貝貝熊系列叢書(37)舞台怕不怕</t>
  </si>
  <si>
    <t>貝貝熊系列叢書(32)遇見聖誕熊</t>
  </si>
  <si>
    <t>貝貝熊系列叢書(38)妹妹的假條</t>
  </si>
  <si>
    <t>快樂天使 阿凡提</t>
  </si>
  <si>
    <t>張天翼作品賞析叢書  大林和小林</t>
  </si>
  <si>
    <t>寶葫蘆的秘密</t>
  </si>
  <si>
    <t>禿禿</t>
  </si>
  <si>
    <t>小?狼喜歡害怕的感覺</t>
  </si>
  <si>
    <t>貝貝熊咿呀學語系列----舊帽子，新帽子</t>
  </si>
  <si>
    <t>貝貝熊咿呀學語系列----恐怖的老樹屋</t>
  </si>
  <si>
    <t>益智卡卡書系列-匹諾曹</t>
  </si>
  <si>
    <t>益智卡卡書系列-海的女兒</t>
  </si>
  <si>
    <t>益智卡卡書系列-穿靴子的貓</t>
  </si>
  <si>
    <t>益智卡卡書系列-醜小鴨</t>
  </si>
  <si>
    <t>益智卡卡書系列-不萊梅的音樂家</t>
  </si>
  <si>
    <t>寶貝猜猜系列 會動的粉耳朵</t>
  </si>
  <si>
    <t>小?狼喜歡聖誕老人</t>
  </si>
  <si>
    <t>小?狼喜歡吃糕點</t>
  </si>
  <si>
    <t>貝貝熊系列叢書(62)森林裡的幽靈</t>
  </si>
  <si>
    <t>貝貝熊系列叢書(54)不給糖果就搗蛋</t>
  </si>
  <si>
    <t>貝貝熊系列叢書(55)蜂蜜不見了</t>
  </si>
  <si>
    <t>貝貝熊系列叢書(61)去野營</t>
  </si>
  <si>
    <t>貝貝熊系列叢書(51)安全第一</t>
  </si>
  <si>
    <t>貝貝熊系列叢書(67)新朋友</t>
  </si>
  <si>
    <t>貝貝熊系列叢書(64)我愛小金魚</t>
  </si>
  <si>
    <t>貝貝熊系列叢書(56)父親節的驚喜</t>
  </si>
  <si>
    <t>貝貝熊系列叢書(69)意外的情人節</t>
  </si>
  <si>
    <t>貝貝熊系列叢書(70)鸚鵡學舌</t>
  </si>
  <si>
    <t>貝貝熊系列叢書(65)我來幫幫你</t>
  </si>
  <si>
    <t>貝貝熊系列叢書(52)愛上足球</t>
  </si>
  <si>
    <t>貝貝熊系列叢書(63)誰的錯</t>
  </si>
  <si>
    <t>貝貝熊系列叢書(58)臨時媽媽</t>
  </si>
  <si>
    <t>貝貝熊系列叢書(68)熊王國的工作</t>
  </si>
  <si>
    <t>貝貝熊系列叢書(53)棒球選拔賽</t>
  </si>
  <si>
    <t>貝貝熊系列叢書(60)鬧彆扭</t>
  </si>
  <si>
    <t>貝貝熊-海邊假期</t>
  </si>
  <si>
    <t>貝貝熊開心父子系列----小熊童子軍</t>
  </si>
  <si>
    <t>貝貝熊咿呀學語系列----小熊在夜裡</t>
  </si>
  <si>
    <t>貝貝熊咿呀學語系列----裡面外面倒過來</t>
  </si>
  <si>
    <t>貝貝熊咿呀學語系列----去月球</t>
  </si>
  <si>
    <t>貝貝熊咿呀學語系列----他和她</t>
  </si>
  <si>
    <t>貝貝熊咿呀學語系列----車輪上的熊</t>
  </si>
  <si>
    <t>貝貝熊咿呀學語系列----恐龍骨頭不見了</t>
  </si>
  <si>
    <t>貝貝熊開心父子系列----尋找蜂蜜</t>
  </si>
  <si>
    <t>貝貝熊開心父子系列----學騎車</t>
  </si>
  <si>
    <t>大師筆端的天使─老舍、冰心</t>
  </si>
  <si>
    <t>動物小鎮下雪了</t>
  </si>
  <si>
    <t>小鎮動物去旅行</t>
  </si>
  <si>
    <t>迷宮裡的牛頭怪</t>
  </si>
  <si>
    <t>神秘的吹笛人</t>
  </si>
  <si>
    <t>葛翠琳作品賞析叢書(野葡萄)</t>
  </si>
  <si>
    <t>葛翠琳作品賞析叢書(飛上天的魚)</t>
  </si>
  <si>
    <t>洪汛濤作品賞析叢書(神筆馬良)</t>
  </si>
  <si>
    <t>苦澀的蜂蜜</t>
  </si>
  <si>
    <t>漫話職場西游</t>
  </si>
  <si>
    <t>貝貝熊系列-小小足球星</t>
  </si>
  <si>
    <t>貝貝熊系列-燈塔鬧鬼記</t>
  </si>
  <si>
    <t>貝貝熊系列-超級狗狗秀</t>
  </si>
  <si>
    <t>貝貝熊系列-拜拜壞小子</t>
  </si>
  <si>
    <t>貝貝熊系列-呆呆傻傻熊</t>
  </si>
  <si>
    <t>羊皮鼓譯叢-金隅</t>
  </si>
  <si>
    <t>森林報(一套四冊)</t>
  </si>
  <si>
    <t>少兒紅色經典叢書‧長長的流水</t>
  </si>
  <si>
    <t>少兒紅色經典叢書‧小英雄雨來</t>
  </si>
  <si>
    <t>貝貝熊系列叢書(86)萬聖節幽靈</t>
  </si>
  <si>
    <t>貝貝熊系列叢書(78)生病的日子</t>
  </si>
  <si>
    <t>貝貝熊系列叢書(77)森林大冒險</t>
  </si>
  <si>
    <t>貝貝熊系列叢書(76)賽車冠軍</t>
  </si>
  <si>
    <t>貝貝熊系列叢書(75)勤勞的新鄰居</t>
  </si>
  <si>
    <t>貝貝熊系列叢書(74)媽媽不在家</t>
  </si>
  <si>
    <t>貝貝熊系列叢書(73)開車去旅行</t>
  </si>
  <si>
    <t>貝貝熊系列叢書(72)家庭新成員</t>
  </si>
  <si>
    <t>貝貝熊系列叢書(71)閣樓裡的寶藏</t>
  </si>
  <si>
    <t>貝貝熊系列叢書(84)復活節彩蛋</t>
  </si>
  <si>
    <t>貝貝熊系列叢書(83)電腦大麻煩</t>
  </si>
  <si>
    <t>貝貝熊系列叢書(82)代課老師</t>
  </si>
  <si>
    <t>貝貝熊系列叢書(81)寵物總動員</t>
  </si>
  <si>
    <t>大野狼和他的魔術演出</t>
  </si>
  <si>
    <t>命運之書－最後一個艾提琳人</t>
  </si>
  <si>
    <t>大野狼和三隻小?的化裝舞會</t>
  </si>
  <si>
    <t>單眼皮</t>
  </si>
  <si>
    <t>少兒紅色經典叢書：兩個小八路</t>
  </si>
  <si>
    <t>慕士塔格文叢  凝曙之下</t>
  </si>
  <si>
    <t>少兒紅色經典叢書—董存瑞</t>
  </si>
  <si>
    <t>清歷朝瓷器真偽鑒別與價值評估：瓷瓶、瓷罐卷</t>
  </si>
  <si>
    <t>清歷朝瓷器真偽鑒別與價值評估：瓷盤、瓷碗卷</t>
  </si>
  <si>
    <t>歷史色盲講故事—從戰國一直寫到東漢2</t>
  </si>
  <si>
    <t>職場潛伏心理學- 全世界最權威的88個心理學定律</t>
  </si>
  <si>
    <t>100個影響歷史進程的中國歷史故事</t>
  </si>
  <si>
    <t>中國古代文化全閱讀 第一輯22：茶經</t>
  </si>
  <si>
    <t>中國古代文化全閱讀 第一輯21：大同書</t>
  </si>
  <si>
    <t>中國古代文化全閱讀 第一輯10：公孫龍子</t>
  </si>
  <si>
    <t>中國古代文化全閱讀 第一輯13：管子</t>
  </si>
  <si>
    <t>中國古代文化全閱讀 第一輯45：國語</t>
  </si>
  <si>
    <t>中國古代文化全閱讀 第一輯8：韓非子</t>
  </si>
  <si>
    <t>中國古代文化全閱讀 第一輯15：鶡冠子</t>
  </si>
  <si>
    <t>中國古代文化全閱讀 第一輯20：賈誼新書</t>
  </si>
  <si>
    <t>中國古代文化全閱讀 第一輯1：孔子集語</t>
  </si>
  <si>
    <t>中國古代文化全閱讀 第一輯2：孔子家語</t>
  </si>
  <si>
    <t>中國古代文化全閱讀 第一輯4：老子</t>
  </si>
  <si>
    <t>中國古代文化全閱讀 第一輯12：列子</t>
  </si>
  <si>
    <t>中國古代文化全閱讀 第一輯26：六韜</t>
  </si>
  <si>
    <t>中國古代文化全閱讀 第一輯19：論衡 上下</t>
  </si>
  <si>
    <t>中國古代文化全閱讀 第一輯53：洛陽伽藍記</t>
  </si>
  <si>
    <t>中國古代文化全閱讀 第一輯6：孟子</t>
  </si>
  <si>
    <t>中國古代文化全閱讀 第一輯7：墨子</t>
  </si>
  <si>
    <t>中國古代文化全閱讀 第一輯14：申子</t>
  </si>
  <si>
    <t>中國古代文化全閱讀 第一輯51：史通</t>
  </si>
  <si>
    <t>中國古代文化全閱讀 第一輯48：世本</t>
  </si>
  <si>
    <t>中國古代文化全閱讀 第一輯24：文房四譜</t>
  </si>
  <si>
    <t>中國古代文化全閱讀 第一輯9：文子</t>
  </si>
  <si>
    <t>中國古代文化全閱讀 第一輯46：吳越春秋</t>
  </si>
  <si>
    <t>中國古代文化全閱讀 第一輯11：荀子</t>
  </si>
  <si>
    <t>中國古代文化全閱讀 第一輯23：硯箋</t>
  </si>
  <si>
    <t>中國古代文化全閱讀 第一輯17：揚子法言</t>
  </si>
  <si>
    <t>中國古代文化全閱讀 第一輯44：越豔書</t>
  </si>
  <si>
    <t>中國古代文化全閱讀 第一輯43：戰國策</t>
  </si>
  <si>
    <t>中國古代文化全閱讀 第一輯18：中說</t>
  </si>
  <si>
    <t>中國古代文化全閱讀 第一輯3：周易正義 上下</t>
  </si>
  <si>
    <t>中國古代文化全閱讀 第一輯5：莊子</t>
  </si>
  <si>
    <t>中國古代文化全閱讀 第一輯16：子思子全書</t>
  </si>
  <si>
    <t>老北大講義:目錄學發微</t>
  </si>
  <si>
    <t>詩學詩律講義(老北大講義)</t>
  </si>
  <si>
    <t>絕地勘探-大漠蒼狼</t>
  </si>
  <si>
    <t>孕產婦嬰幼兒飲食與健康百科</t>
  </si>
  <si>
    <t>明清通俗小說語彙研究</t>
  </si>
  <si>
    <t>清代卷-中國歷代繪畫理論評注-下</t>
  </si>
  <si>
    <t>財富中國之財富魔杖</t>
  </si>
  <si>
    <t>超酷版時尚蒙紙描畫：靚裝新娘</t>
  </si>
  <si>
    <t>談民族民間美術</t>
  </si>
  <si>
    <t>唐詩雜論(鳳凰讀者文庫)</t>
  </si>
  <si>
    <t>中國史綱：張蔭麟</t>
  </si>
  <si>
    <t>詞曲史</t>
  </si>
  <si>
    <t>漢文學史綱要</t>
  </si>
  <si>
    <t>中國詩史(北斗叢書)</t>
  </si>
  <si>
    <t>中國歷史研究法(北斗叢書)</t>
  </si>
  <si>
    <t>中國中古文學史講義(北斗叢書)</t>
  </si>
  <si>
    <t>黃土-張承志的放浪筆記</t>
  </si>
  <si>
    <t>間奏</t>
  </si>
  <si>
    <t>左邊毛澤東時代的抒情詩人</t>
  </si>
  <si>
    <t>豔歌行-三重戀-全兩冊</t>
  </si>
  <si>
    <t>石門頌-中國歷代名碑名帖精選系列</t>
  </si>
  <si>
    <t>扇畫</t>
  </si>
  <si>
    <t>明瓚-品墨</t>
  </si>
  <si>
    <t>夜凝夕</t>
  </si>
  <si>
    <t>皇城內外--北京市非物質文化遺產資源彙編</t>
  </si>
  <si>
    <t>漁陽古風--北京市非物質文化遺產資源彙編</t>
  </si>
  <si>
    <t>影響中國歷史的100名人（偉人卷）</t>
  </si>
  <si>
    <t>影響中國歷史的100大事（復興卷）</t>
  </si>
  <si>
    <t>品書四絕</t>
  </si>
  <si>
    <t>蒼狼秘史</t>
  </si>
  <si>
    <t>追尋文明遺蹤百科聚焦</t>
  </si>
  <si>
    <t>探尋地理妙境百科聚焦</t>
  </si>
  <si>
    <t>歷史事件解讀百科聚焦</t>
  </si>
  <si>
    <t>權力圖騰</t>
  </si>
  <si>
    <t>我的大明王朝</t>
  </si>
  <si>
    <t>嶺表尋春-廣東清明節</t>
  </si>
  <si>
    <t>鵲橋七夕-廣東乞巧節</t>
  </si>
  <si>
    <t>四川藏區的文化藝術</t>
  </si>
  <si>
    <t>角色:設計.以教育的名義_中央美院設計學院課堂教學典</t>
  </si>
  <si>
    <t>國畫指要</t>
  </si>
  <si>
    <t>國畫教學</t>
  </si>
  <si>
    <t>市井</t>
  </si>
  <si>
    <t>國畫演進</t>
  </si>
  <si>
    <t>畫裏畫外</t>
  </si>
  <si>
    <t>大豐談藝</t>
  </si>
  <si>
    <t>琴鍵的芭蕾-鋼琴</t>
  </si>
  <si>
    <t>紋道</t>
  </si>
  <si>
    <t>窄門</t>
  </si>
  <si>
    <t>少城</t>
  </si>
  <si>
    <t>中國知青終結</t>
  </si>
  <si>
    <t>國之寶楨</t>
  </si>
  <si>
    <t>呂留良-大家精要</t>
  </si>
  <si>
    <t>難以消逝的思想煙雲</t>
  </si>
  <si>
    <t>商道-意林 撥動智慧之弦的185個商業故事</t>
  </si>
  <si>
    <t>叢書(10)-雅舍小物</t>
  </si>
  <si>
    <t>叢書(4)-壁飾小品</t>
  </si>
  <si>
    <t>西塞雄風－－隴右長城文化（隴文化叢書）</t>
  </si>
  <si>
    <t>華戒交彙</t>
  </si>
  <si>
    <t>開蒙養正</t>
  </si>
  <si>
    <t>遺響千年：敦煌的影響（走進敦煌叢書）</t>
  </si>
  <si>
    <t>忘憂清樂</t>
  </si>
  <si>
    <t>橄欖綠蔭---蒼生大醫莊仕華</t>
  </si>
  <si>
    <t>阿尼帕的故事</t>
  </si>
  <si>
    <t>三大師談國學</t>
  </si>
  <si>
    <t>歷史的心智:亂世中的人性與命運</t>
  </si>
  <si>
    <t>我的生平:吉亞科莫.卡薩諾瓦自傳</t>
  </si>
  <si>
    <t>琵琶記的場上演變研究</t>
  </si>
  <si>
    <t>人與獸的糾葛-魯迅筆下的動物意象</t>
  </si>
  <si>
    <t>風雅文房</t>
  </si>
  <si>
    <t>那些傷過痛過的往事：1946-1956中國最後一個秀才家庭的千封家書</t>
  </si>
  <si>
    <t>第一卷 現代小說</t>
  </si>
  <si>
    <t>第二卷 現代詩歌.散文.戲劇</t>
  </si>
  <si>
    <t>第三卷 當代小說</t>
  </si>
  <si>
    <t>第四卷 當代詩歌.散文.戲劇</t>
  </si>
  <si>
    <t>捨命的兒子(長篇小說)</t>
  </si>
  <si>
    <t>血染刀鋒八十年-屠唐梟雄卷</t>
  </si>
  <si>
    <t>最牛的時代 最牛的人</t>
  </si>
  <si>
    <t>上海生活原生態叢書—經濟生活樣本</t>
  </si>
  <si>
    <t>安胎養胎飲食調養</t>
  </si>
  <si>
    <t>秦始皇嬴政(中國帝王系列)</t>
  </si>
  <si>
    <t>漢高祖劉邦(中國帝王系列)</t>
  </si>
  <si>
    <t>漢武帝劉徹</t>
  </si>
  <si>
    <t>唐太宗李世民(中國帝王系列)</t>
  </si>
  <si>
    <t>唐明皇李隆基(中國帝王系列)</t>
  </si>
  <si>
    <t>中國帝王系列-宋太祖趙匡胤</t>
  </si>
  <si>
    <t>元太祖成吉思汗(中國帝王系列)</t>
  </si>
  <si>
    <t>盛世英主——清聖祖康熙</t>
  </si>
  <si>
    <t>中國書畫家經典作品集_曾鯨-嚴用晦像長卷考評</t>
  </si>
  <si>
    <t>行已之道_收藏界最關注的中-國畫家.王鏞</t>
  </si>
  <si>
    <t>中國民間文學史</t>
  </si>
  <si>
    <t>旭宇藝術隨談</t>
  </si>
  <si>
    <t>詠物流變文化論</t>
  </si>
  <si>
    <t>先秦諸子思維研究</t>
  </si>
  <si>
    <t>英雄-三國.不能戲說的歷史</t>
  </si>
  <si>
    <t>思想.歷史與文化評論</t>
  </si>
  <si>
    <t>講述明朝-中國往事</t>
  </si>
  <si>
    <t>講述秦漢-中國往事-下</t>
  </si>
  <si>
    <t>講述秦漢-中國往事-上</t>
  </si>
  <si>
    <t>預言殺意的宋詞</t>
  </si>
  <si>
    <t>首席女法醫(新經典文庫)</t>
  </si>
  <si>
    <t>讀史的側翼</t>
  </si>
  <si>
    <t>電影往事</t>
  </si>
  <si>
    <t>不可忘卻的瞬間 : 口述歷史叢書</t>
  </si>
  <si>
    <t>大明王朝</t>
  </si>
  <si>
    <t>千百年眼——皇權與吏治的歷史掃描</t>
  </si>
  <si>
    <t>墨子與中國人的兼愛情懷</t>
  </si>
  <si>
    <t>誤讀的中國歷史</t>
  </si>
  <si>
    <t>如果這是宋史-太宗 真宗卷(貳)</t>
  </si>
  <si>
    <t>探名－破譯名稱的奧秘</t>
  </si>
  <si>
    <t>仁宗盛世卷[上]-如果這是宋史-三</t>
  </si>
  <si>
    <t>美人何在：紅顏探古·明代</t>
  </si>
  <si>
    <t>仁宗盛世卷(下)-如果這是宋史-肆</t>
  </si>
  <si>
    <t>煮酒論史卷：原來這才是歷史</t>
  </si>
  <si>
    <t>三日長過百年</t>
  </si>
  <si>
    <t>中國美術之最</t>
  </si>
  <si>
    <t>清代檔案史料選編 全四冊</t>
  </si>
  <si>
    <t>朱元璋(上下)</t>
  </si>
  <si>
    <t>中國歷代法書真跡萃編 元 楊維楨法書選 楷書周文英墓誌銘</t>
  </si>
  <si>
    <t>唐代文學探論</t>
  </si>
  <si>
    <t>顧炎武與中國文化</t>
  </si>
  <si>
    <t>歷史翻不過去</t>
  </si>
  <si>
    <t>血凝--揭開中國帝王的身世疑團</t>
  </si>
  <si>
    <t>論語解讀正要</t>
  </si>
  <si>
    <t>大清國相魏裔介</t>
  </si>
  <si>
    <t>歷史竟可這樣讀1：蠻荒時代的生存法則</t>
  </si>
  <si>
    <t>孝恭仁皇后</t>
  </si>
  <si>
    <t>歷史竟可這樣讀2：變革時代的君臣博弈</t>
  </si>
  <si>
    <t>荒漠河岸林植被對環境脅迫的生理響應與適應策略</t>
  </si>
  <si>
    <t>懷塔里木盆地</t>
  </si>
  <si>
    <t>克孜爾水庫</t>
  </si>
  <si>
    <t>經典中國國際出版工程‧千年龜茲（英）</t>
  </si>
  <si>
    <t>東天山喀爾里克山坡</t>
  </si>
  <si>
    <t>塔里木河下游輸水後的生態變化及其效應研究</t>
  </si>
  <si>
    <t>感天動地民族情</t>
  </si>
  <si>
    <t>法門寺</t>
  </si>
  <si>
    <t>最美的還是我們新疆</t>
  </si>
  <si>
    <t>當家花旦</t>
  </si>
  <si>
    <t>賣羊肉串串的阿里木</t>
  </si>
  <si>
    <t>東天山文化研究</t>
  </si>
  <si>
    <t>它山之石</t>
  </si>
  <si>
    <t>新疆民族文化精粹快讀書系(八)</t>
  </si>
  <si>
    <t>新疆民族文化精粹快讀書系(七)</t>
  </si>
  <si>
    <t>克拉拉</t>
  </si>
  <si>
    <t>農民畫說新疆巨變(7)</t>
  </si>
  <si>
    <t>農民畫說新疆巨變(5)</t>
  </si>
  <si>
    <t>農民畫說新疆巨變(4)</t>
  </si>
  <si>
    <t>農民畫說新疆巨變(2)</t>
  </si>
  <si>
    <t>農民畫說新疆巨變(6)</t>
  </si>
  <si>
    <t>農民畫說新疆巨變(3)</t>
  </si>
  <si>
    <t>農民畫說新疆巨變(1)</t>
  </si>
  <si>
    <t>趙大營</t>
  </si>
  <si>
    <t>風情鎮西</t>
  </si>
  <si>
    <t>絲路鎮西</t>
  </si>
  <si>
    <t>雙城鎮西</t>
  </si>
  <si>
    <t>新疆農民畫卷</t>
  </si>
  <si>
    <t>新疆書法篆刻卷</t>
  </si>
  <si>
    <t>女媧的面具</t>
  </si>
  <si>
    <t>國人必知的2300個外國名人</t>
  </si>
  <si>
    <t>天下狼煙</t>
  </si>
  <si>
    <t>我的視覺日記</t>
  </si>
  <si>
    <t>延河邊的文人們</t>
  </si>
  <si>
    <t>悠然望南山文化視域中的陶淵明</t>
  </si>
  <si>
    <t>中國2010年上海世博會官方圖冊</t>
  </si>
  <si>
    <t>紀念辛亥百年戴敦邦繪人物譜(1911-2011)</t>
  </si>
  <si>
    <t>紀念辛亥百年名家書法集(1911-2011)</t>
  </si>
  <si>
    <t>青浦卷-回眸青龍翱翔</t>
  </si>
  <si>
    <t>普陀卷-右岸·蘇州河</t>
  </si>
  <si>
    <t>金山卷-聆聽文明的步履聲</t>
  </si>
  <si>
    <t>奉賢卷-追尋先賢的足音</t>
  </si>
  <si>
    <t>楊浦卷-雕欄玉砌應猶在</t>
  </si>
  <si>
    <t>上海起步的地方-黃浦卷</t>
  </si>
  <si>
    <t>浦東卷-江面吹來千年的風</t>
  </si>
  <si>
    <t>崇明卷-悠遊綠島</t>
  </si>
  <si>
    <t>寶山卷-吳淞文化之旅</t>
  </si>
  <si>
    <t>長寧卷-繁華深處</t>
  </si>
  <si>
    <t>古玩投資實用寶典</t>
  </si>
  <si>
    <t>民國書影經眼錄</t>
  </si>
  <si>
    <t>進入大腦世界的神奇之旅</t>
  </si>
  <si>
    <t>生物進化歷程的時空之旅</t>
  </si>
  <si>
    <t>書畫研究2</t>
  </si>
  <si>
    <t>濟南歷史大事件</t>
  </si>
  <si>
    <t>濟南民間藝術</t>
  </si>
  <si>
    <t>齊魯藏石經典（精裝）</t>
  </si>
  <si>
    <t>諸子學略說</t>
  </si>
  <si>
    <t>中國漢畫研究：第四卷</t>
  </si>
  <si>
    <t>小恐龍幼兒園-對不起我錯了</t>
  </si>
  <si>
    <t>番茄天書</t>
  </si>
  <si>
    <t>番茄天書(3)身體複制儀</t>
  </si>
  <si>
    <t>番茄天書(2)辣椒豪宅的秘密</t>
  </si>
  <si>
    <t>番茄天書(1)秘密筆記事件</t>
  </si>
  <si>
    <t>雙把兒鐵鍋卡琦婭-我上學啦</t>
  </si>
  <si>
    <t>雙把兒鐵鍋卡琦婭-我上報紙啦</t>
  </si>
  <si>
    <t>小恐龍幼兒園-這樣不公平</t>
  </si>
  <si>
    <t>小恐龍幼兒園-摘蘋果</t>
  </si>
  <si>
    <t>小恐龍幼兒園-小冒失鬼</t>
  </si>
  <si>
    <t>小恐龍幼兒園-消防演習</t>
  </si>
  <si>
    <t>小恐龍幼兒園-下雪了</t>
  </si>
  <si>
    <t>小恐龍幼兒園-我也很棒</t>
  </si>
  <si>
    <t>小恐龍幼兒園-我想發脾氣</t>
  </si>
  <si>
    <t>小恐龍幼兒園-我說了算</t>
  </si>
  <si>
    <t>小恐龍幼兒園-我是超人</t>
  </si>
  <si>
    <t>小恐龍幼兒園-我們愛泥巴</t>
  </si>
  <si>
    <t>小恐龍幼兒園-我們愛蟲蟲</t>
  </si>
  <si>
    <t>小恐龍幼兒園-我敢下水了</t>
  </si>
  <si>
    <t>小恐龍幼兒園-我的南瓜哥哥</t>
  </si>
  <si>
    <t>小恐龍幼兒園-萬聖節面具</t>
  </si>
  <si>
    <t>小恐龍幼兒園-去郊遊</t>
  </si>
  <si>
    <t>小恐龍幼兒園-去滑雪</t>
  </si>
  <si>
    <t>小恐龍幼兒園-媽媽還不來</t>
  </si>
  <si>
    <t>小恐龍幼兒園-來拍集體照</t>
  </si>
  <si>
    <t>小恐龍幼兒園-今天不開心</t>
  </si>
  <si>
    <t>小恐龍幼兒園-歡樂節日秀</t>
  </si>
  <si>
    <t>小恐龍幼兒園-感恩節來了</t>
  </si>
  <si>
    <t>小恐龍幼兒園-大雨大雨快走開</t>
  </si>
  <si>
    <t>小恐龍幼兒園-大家一起玩</t>
  </si>
  <si>
    <t>小恐龍幼兒園-不和你玩了</t>
  </si>
  <si>
    <t>小恐龍幼兒園-愛心卡片</t>
  </si>
  <si>
    <t>大師傳世經典美繪系列-原來如此:吉卜林自然動物故事</t>
  </si>
  <si>
    <t>牛牛羊羊的恐龍故事集</t>
  </si>
  <si>
    <t>自然災難探索系列：海嘯</t>
  </si>
  <si>
    <t>愛的魔法圖畫書 小孤狸要離家</t>
  </si>
  <si>
    <t>你好,達林克</t>
  </si>
  <si>
    <t>動物大發現-動物旅行家</t>
  </si>
  <si>
    <t>動物大發現-動物建築師</t>
  </si>
  <si>
    <t>LOOK!英國-五歲男孩看英國</t>
  </si>
  <si>
    <t>命運之書－迷霧之國的王子</t>
  </si>
  <si>
    <t>孔子的故鄉——山東</t>
  </si>
  <si>
    <t>什麼是翻譯？離心式理論，批判式介入</t>
  </si>
  <si>
    <t>乾隆-集文治武功於一身的清朝皇帝</t>
  </si>
  <si>
    <t>不可不知的法律常識（精華版）</t>
  </si>
  <si>
    <t>楊貴妃傳</t>
  </si>
  <si>
    <t>地球歷史-漫畫百科王-2010最新版</t>
  </si>
  <si>
    <t>無障礙讀國學:論語</t>
  </si>
  <si>
    <t>誰將冰心盛玉壺：清詞中的千古愁思</t>
  </si>
  <si>
    <t>唐非唐-盛世帝國的謊言與真相</t>
  </si>
  <si>
    <t>中國歷史體系新論(山東大學文史書系)</t>
  </si>
  <si>
    <t>東晉文藝綜合研究(山東大學文史書系)</t>
  </si>
  <si>
    <t>新理想空間3_同濟規劃設計年鑒</t>
  </si>
  <si>
    <t>黎元洪大傳：從貧寒書生到首義都督</t>
  </si>
  <si>
    <t>煮酒論史：史記中的的哲學與智慧</t>
  </si>
  <si>
    <t>戰爭畫師</t>
  </si>
  <si>
    <t>王安石：北宋政治改革家</t>
  </si>
  <si>
    <t>古韻汀州</t>
  </si>
  <si>
    <t>方志學綜論</t>
  </si>
  <si>
    <t>應用校勘學</t>
  </si>
  <si>
    <t>高等管理文論</t>
  </si>
  <si>
    <t>思想是舍利子</t>
  </si>
  <si>
    <t>1CD--德語高級口譯技能訓練與實戰演練教程</t>
  </si>
  <si>
    <t>文學的命脈</t>
  </si>
  <si>
    <t>超越早期教育保育品質－後現代視角</t>
  </si>
  <si>
    <t>普通教育學－教育思想和行動基本結構的系統的和問題史的引論</t>
  </si>
  <si>
    <t>鐳射光譜測量技術</t>
  </si>
  <si>
    <t>中國教育研究新進展.2004</t>
  </si>
  <si>
    <t>中國高等教育研究新進展2004</t>
  </si>
  <si>
    <t>動物為什麼有（共10冊）</t>
  </si>
  <si>
    <t>現代意識與都市發展：社會學-研究</t>
  </si>
  <si>
    <t>教育展望：在不同的情境脈絡中評價學生的成績</t>
  </si>
  <si>
    <t>蜉蝣建築</t>
  </si>
  <si>
    <t>古代悲劇與現代科學的起源</t>
  </si>
  <si>
    <t>中國古典散文 :   從中世紀到近代的散文、遊記、筆記和書信</t>
  </si>
  <si>
    <t>元代四書學研究</t>
  </si>
  <si>
    <t>孤獨的詩性 : 論沈從文與中國傳統文化</t>
  </si>
  <si>
    <t>中國文論的我與他：古代文學理論研究,第二十七輯</t>
  </si>
  <si>
    <t>新編寫意人物畫</t>
  </si>
  <si>
    <t>新編青綠山水畫</t>
  </si>
  <si>
    <t>新編寫意花鳥畫</t>
  </si>
  <si>
    <t>中國指掌拳書法重慶墨人胡文富專集</t>
  </si>
  <si>
    <t>老外其實也很冷：外國最新冷笑話</t>
  </si>
  <si>
    <t>中國古代設計藝術思想論綱</t>
  </si>
  <si>
    <t>東方的野心-盛唐三次西域戰記</t>
  </si>
  <si>
    <t>音樂與戰爭</t>
  </si>
  <si>
    <t>徐思益語言論文選</t>
  </si>
  <si>
    <t>走出的批評</t>
  </si>
  <si>
    <t>文學拓耕集</t>
  </si>
  <si>
    <t>新疆改革開放文學三十年</t>
  </si>
  <si>
    <t>當代民間藝術--美國藝術書系</t>
  </si>
  <si>
    <t>音樂劇魅影(桂)</t>
  </si>
  <si>
    <t>藝術的陰謀（第二版）</t>
  </si>
  <si>
    <t>水墨音樂（桂）</t>
  </si>
  <si>
    <t>書韻悠悠一脈香:沈津書目文獻論集（桂）</t>
  </si>
  <si>
    <t>閃客江湖:對中國網路動畫的文化解讀</t>
  </si>
  <si>
    <t>民間記憶：桂林 1937-1945（桂）</t>
  </si>
  <si>
    <t>居延漢簡研究(上下)（桂）</t>
  </si>
  <si>
    <t>懷揣毒藥 沖入人群:讀《野草》劄記（桂）</t>
  </si>
  <si>
    <t>讀書滋味長：2003-2005《博覽群書》精選</t>
  </si>
  <si>
    <t>蜀漢風雲人物（上海）</t>
  </si>
  <si>
    <t>東漢風雲人物（上海）</t>
  </si>
  <si>
    <t>中外舞蹈鑒賞語言</t>
  </si>
  <si>
    <t>中外電影鑒賞語言</t>
  </si>
  <si>
    <t>書法藝術鑒賞語言</t>
  </si>
  <si>
    <t>中國古代建築鑒賞語言</t>
  </si>
  <si>
    <t>先秦文化綜論</t>
  </si>
  <si>
    <t>走進藝術  西方美術鑒賞語言</t>
  </si>
  <si>
    <t>西方音樂鑒賞語言</t>
  </si>
  <si>
    <t>走進藝術  中國美術鑒賞語言</t>
  </si>
  <si>
    <t>戊戌前後的痛與夢  新中國未來記</t>
  </si>
  <si>
    <t>戊戌前後的痛與夢  新紀元</t>
  </si>
  <si>
    <t>唐代文學研究（第十二輯）</t>
  </si>
  <si>
    <t>靠不住的歷史(雜書過眼錄二集)</t>
  </si>
  <si>
    <t>懷疑中的接受:張恨水小說中的現代日常生活</t>
  </si>
  <si>
    <t>秦晉恩怨賈志剛說春秋之二</t>
  </si>
  <si>
    <t>中國當代女性文學簡史(中國女性文學文化學科建設叢書)</t>
  </si>
  <si>
    <t>我山之後——儒墨道的救世之策</t>
  </si>
  <si>
    <t>你所不識的民國面相</t>
  </si>
  <si>
    <t>中國寶卷研究</t>
  </si>
  <si>
    <t>新君王論. 造就政治領袖的五十堂課</t>
  </si>
  <si>
    <t>原典書坊：宋元戲曲史</t>
  </si>
  <si>
    <t>原典書坊：經典常談</t>
  </si>
  <si>
    <t>原典書坊：諸子概論</t>
  </si>
  <si>
    <t>詞家有道</t>
  </si>
  <si>
    <t>原典書坊：中國倫理學史</t>
  </si>
  <si>
    <t>原典書坊：清代學術概論</t>
  </si>
  <si>
    <t>劫中得書記</t>
  </si>
  <si>
    <t>詩酒年華賦長城</t>
  </si>
  <si>
    <t>徜徉在雄渾和細膩間</t>
  </si>
  <si>
    <t>紫禁城的流金歲月</t>
  </si>
  <si>
    <t>論語新解</t>
  </si>
  <si>
    <t>闖入歷史禁地--史實卷</t>
  </si>
  <si>
    <t>李世民</t>
  </si>
  <si>
    <t>漢武帝</t>
  </si>
  <si>
    <t>秦始皇</t>
  </si>
  <si>
    <t>國學啟蒙全知道</t>
  </si>
  <si>
    <t>漫畫史記：千古悲歌屈原賦</t>
  </si>
  <si>
    <t>傳統與生活——中國歷史文化研究新論(一套四冊)</t>
  </si>
  <si>
    <t>漢魏六朝文學論稿</t>
  </si>
  <si>
    <t>經典江蘇三十年：歷史上的今天</t>
  </si>
  <si>
    <t>民俗藝術符號與當代廣告設計</t>
  </si>
  <si>
    <t>破解600年第一謎案-建文帝最終出亡福建寧德?!</t>
  </si>
  <si>
    <t>蒼蒼龍眠</t>
  </si>
  <si>
    <t>句子裏的世界重尋朱自清 : 中國現代知識者的路</t>
  </si>
  <si>
    <t>阿英信稿</t>
  </si>
  <si>
    <t>形象學的實踐</t>
  </si>
  <si>
    <t>天府永藏</t>
  </si>
  <si>
    <t>故宮問學</t>
  </si>
  <si>
    <t>碑刻的故事(文物的故事：第1輯)</t>
  </si>
  <si>
    <t>故宮歷代書畫.第二編</t>
  </si>
  <si>
    <t>悠悠青瓷(文物的故事：第1輯)</t>
  </si>
  <si>
    <t>守望經典 : 鄭欣淼談故宮</t>
  </si>
  <si>
    <t>元明清國寶的故事</t>
  </si>
  <si>
    <t>春水秋英—故宮博物院藏清代玻璃器</t>
  </si>
  <si>
    <t>觴詠抒懷：故宮博物院古代酒具</t>
  </si>
  <si>
    <t>唐宋國寶的故事</t>
  </si>
  <si>
    <t>先秦國寶的故事</t>
  </si>
  <si>
    <t>秦漢國寶的故事</t>
  </si>
  <si>
    <t>融合清廷文化的發展軌跡</t>
  </si>
  <si>
    <t>帝王生活續編</t>
  </si>
  <si>
    <t>漢唐藝術賦研究</t>
  </si>
  <si>
    <t>鄭玄以禮箋《詩》研究</t>
  </si>
  <si>
    <t>四體四書</t>
  </si>
  <si>
    <t>嘉興歷代碑刻集</t>
  </si>
  <si>
    <t>沉鈞儒家書</t>
  </si>
  <si>
    <t>楚圖南年譜</t>
  </si>
  <si>
    <t>至死不渝(SKZ)</t>
  </si>
  <si>
    <t>中華碑文化璀璨輝煌</t>
  </si>
  <si>
    <t>解讀范長江</t>
  </si>
  <si>
    <t>說出你的秘密-一部讓人走出心理困惑的心靈小說</t>
  </si>
  <si>
    <t>中國古代的家（中國古代生活叢書）</t>
  </si>
  <si>
    <t>中國古代民間娛樂（中國古代生活叢書）</t>
  </si>
  <si>
    <t>詼諧及其與無意識的關係</t>
  </si>
  <si>
    <t>宋詩拾遺（一函8冊）</t>
  </si>
  <si>
    <t>孤本善本小說影印點校合刊--文言話本小說（2函12冊）</t>
  </si>
  <si>
    <t>孔子聖跡圖</t>
  </si>
  <si>
    <t>中華典故（全4冊）</t>
  </si>
  <si>
    <t>周易集解（上、下）</t>
  </si>
  <si>
    <t>月冷繁華</t>
  </si>
  <si>
    <t>中國私學小史(中國小史叢書)</t>
  </si>
  <si>
    <t>中國風俗史_民國珍本叢刊</t>
  </si>
  <si>
    <t>傷痛無聲:喬安山憶雷鋒</t>
  </si>
  <si>
    <t>中華文學五千年(彩圖版)</t>
  </si>
  <si>
    <t>世界軍事未解之謎</t>
  </si>
  <si>
    <t>自尊-忠為衣兮信為裳</t>
  </si>
  <si>
    <t>自知-不畏浮雲遮望眼</t>
  </si>
  <si>
    <t>自信-天生我材必有用</t>
  </si>
  <si>
    <t>自樂-捲土重來未可知</t>
  </si>
  <si>
    <t>自強-梅花香自苦寒來</t>
  </si>
  <si>
    <t>自勉-學海無涯苦作舟</t>
  </si>
  <si>
    <t>自愛-化作春泥更護花</t>
  </si>
  <si>
    <t>歷史給誰來釀酒－湘湘才子品讀曾國藩</t>
  </si>
  <si>
    <t>什剎海的民俗風情</t>
  </si>
  <si>
    <t>古人的天秤 : 中國古典名著中的法律文化</t>
  </si>
  <si>
    <t>中國人的人格</t>
  </si>
  <si>
    <t>當代北京拍賣史話</t>
  </si>
  <si>
    <t>當代北京居住史話</t>
  </si>
  <si>
    <t>後現代城市美學</t>
  </si>
  <si>
    <t>當代北京閱讀史話</t>
  </si>
  <si>
    <t>當代北京劇場影院史話</t>
  </si>
  <si>
    <t>唐朝的黑夜2</t>
  </si>
  <si>
    <t>膾炙英雄</t>
  </si>
  <si>
    <t>韓非子全書(國學新讀大講堂)</t>
  </si>
  <si>
    <t>寶石首飾價值考成</t>
  </si>
  <si>
    <t>巴林圖案石精品賞析全二冊</t>
  </si>
  <si>
    <t>天下第一家：孔子家族的歷史變遷</t>
  </si>
  <si>
    <t>20世紀中國古代文學研究史.戲曲卷</t>
  </si>
  <si>
    <t>永遠的驛站</t>
  </si>
  <si>
    <t>中國館藏滿鐵資料聯合目錄 全30冊</t>
  </si>
  <si>
    <t>中國園林史</t>
  </si>
  <si>
    <t>國史札記 事件篇</t>
  </si>
  <si>
    <t>中國學案史</t>
  </si>
  <si>
    <t>世博與建築</t>
  </si>
  <si>
    <t>國史劄記：史論篇</t>
  </si>
  <si>
    <t>華人縱橫天下 李昌鈺</t>
  </si>
  <si>
    <t>二分明月－當代揚州女性</t>
  </si>
  <si>
    <t>焦循著述新證</t>
  </si>
  <si>
    <t>中國典當史 圖文典藏版</t>
  </si>
  <si>
    <t>大唐百年開國</t>
  </si>
  <si>
    <t>歷史可以這樣讀</t>
  </si>
  <si>
    <t>夭折的帝國：秦朝興亡十六談</t>
  </si>
  <si>
    <t>宿醉的王朝：1860-1889晚清三十年</t>
  </si>
  <si>
    <t>變革中的危機:袁世凱集團與清末新政</t>
  </si>
  <si>
    <t>秦漢社會生活四十講</t>
  </si>
  <si>
    <t>國家歷史</t>
  </si>
  <si>
    <t>雲南.華坪卷-中國民間故事全書</t>
  </si>
  <si>
    <t>沈同衡與漫畫工學團</t>
  </si>
  <si>
    <t>閑看歷史淡操心·第1部，從西周至春秋(Xiron)</t>
  </si>
  <si>
    <t>宮廷決鬥.霍光舞漢-那時漢朝-肆</t>
  </si>
  <si>
    <t>品讀水滸（上中下）</t>
  </si>
  <si>
    <t>品讀西遊（上中下）</t>
  </si>
  <si>
    <t>火塘、教堂、電視 : 一個少數民族社區的社會傳播網路研究</t>
  </si>
  <si>
    <t>2008北京奧運讀本</t>
  </si>
  <si>
    <t>奧林匹克知識讀本</t>
  </si>
  <si>
    <t>大國崛起中的領軍人物</t>
  </si>
  <si>
    <t>十全英主——清高宗乾隆</t>
  </si>
  <si>
    <t>一代天驕——元太祖成吉思汗</t>
  </si>
  <si>
    <t>嘯鳴豪傑-漢高祖劉邦</t>
  </si>
  <si>
    <t>冠于百王——漢武帝劉徹</t>
  </si>
  <si>
    <t>中華上下五千年妙典趣話</t>
  </si>
  <si>
    <t>縱橫家的智慧-諸子智慧叢書</t>
  </si>
  <si>
    <t>國學入門-國學語絲叢書</t>
  </si>
  <si>
    <t>國學問答-國學語絲叢書</t>
  </si>
  <si>
    <t>國學概論-國學語絲叢書</t>
  </si>
  <si>
    <t>國寶密碼</t>
  </si>
  <si>
    <t>秦漢帝王文治武功全紀錄</t>
  </si>
  <si>
    <t>知海泛舟----文化常識診聞錄</t>
  </si>
  <si>
    <t>仿佛論孔子</t>
  </si>
  <si>
    <t>拜倒在石榴裙下的歷史</t>
  </si>
  <si>
    <t>超越帝王名臣和名將 帝王篇</t>
  </si>
  <si>
    <t>全面貫徹黨的十七屆四中全會精神 深入推進黨風廉政建設……</t>
  </si>
  <si>
    <t>&lt;&lt;中國共產黨黨員領導幹部廉潔從政若干準則&gt;&gt;學習問答</t>
  </si>
  <si>
    <t>陽光下的孔子：孔子與大眾傳播學</t>
  </si>
  <si>
    <t>聖王之道-&lt;&lt;孟子&gt;&gt;</t>
  </si>
  <si>
    <t>修已安人-&lt;&lt;論語&gt;&gt;</t>
  </si>
  <si>
    <t>大愛無疆-&lt;&lt;墨子&gt;&gt;</t>
  </si>
  <si>
    <t>禮法之間-&lt;&lt;荀子&gt;&gt;</t>
  </si>
  <si>
    <t>殺手在行動--24位世界名人的遇刺之謎</t>
  </si>
  <si>
    <t>鄭振鐸:中國俗文學史-民國時期影響國人的大師著作-(上下卷)</t>
  </si>
  <si>
    <t>和名家一起感受漢朝氣象：15位名家攜你品讀漢史菁華</t>
  </si>
  <si>
    <t>夜不語</t>
  </si>
  <si>
    <t>那一個孔子--在理想與現實中昇華的修身法則</t>
  </si>
  <si>
    <t>那一個孟子--在執著與圓通中創新的實踐經典</t>
  </si>
  <si>
    <t>天朝印記:決定中國古代王朝命運的那些事兒</t>
  </si>
  <si>
    <t>玩風物</t>
  </si>
  <si>
    <t>朱元璋-從放牛娃到富有天下的創業啟示錄</t>
  </si>
  <si>
    <t>讀史記之秦始皇</t>
  </si>
  <si>
    <t>幻境-鄭振鐸散文選</t>
  </si>
  <si>
    <t>藝術家.對話錄-對話中的當代中國藝術史-第四輯</t>
  </si>
  <si>
    <t>1CD-盤鷹風箏</t>
  </si>
  <si>
    <t>資治通鑒（第七輯.五代十國）（20、21）-文白對照全譯</t>
  </si>
  <si>
    <t>揚州民歌史略</t>
  </si>
  <si>
    <t>殖民與先鋒：中國痛苦——三位女性對殖民地香港的文學解讀（文學</t>
  </si>
  <si>
    <t>林語堂與中國文化</t>
  </si>
  <si>
    <t>中國世界舞蹈文化</t>
  </si>
  <si>
    <t>孔子：先盡人事後由天</t>
  </si>
  <si>
    <t>米格風雲：米格飛機的傳奇</t>
  </si>
  <si>
    <t>銀行家馬蔚華</t>
  </si>
  <si>
    <t>猛牛牛根生</t>
  </si>
  <si>
    <t>漫畫兔的玩笑</t>
  </si>
  <si>
    <t>搖滾藏獒（上下）</t>
  </si>
  <si>
    <t>搜王李彥宏</t>
  </si>
  <si>
    <t>聯想教父柳傳志</t>
  </si>
  <si>
    <t>江湖商人史玉柱</t>
  </si>
  <si>
    <t>在歷史的下降線行走</t>
  </si>
  <si>
    <t>張小盒杯洗具</t>
  </si>
  <si>
    <t>軍神孫子</t>
  </si>
  <si>
    <t>最後的皇宮</t>
  </si>
  <si>
    <t>喔,長城</t>
  </si>
  <si>
    <t>你也可以很優秀</t>
  </si>
  <si>
    <t>公司</t>
  </si>
  <si>
    <t>榜樣的力量</t>
  </si>
  <si>
    <t>神州節律</t>
  </si>
  <si>
    <t>中國文學史資料全編.現代卷·創造社資料(上下)</t>
  </si>
  <si>
    <t>母愛耀皇宮-27位皇太后的母性光輝</t>
  </si>
  <si>
    <t>趕走你的憂鬱</t>
  </si>
  <si>
    <t>苦難輝煌-(上下冊)</t>
  </si>
  <si>
    <t>觀音道場 千年福地-中國遂甯觀音文化研究</t>
  </si>
  <si>
    <t>鏡花水月：銅鏡鑒賞與辨偽</t>
  </si>
  <si>
    <t>書法學概論</t>
  </si>
  <si>
    <t>中國印學年鑒</t>
  </si>
  <si>
    <t>藝海集珍_近現代中國書畫作-品集</t>
  </si>
  <si>
    <t>柳公權書神策軍碑</t>
  </si>
  <si>
    <t>葉畫製作技法</t>
  </si>
  <si>
    <t>風箏技藝與訣竅</t>
  </si>
  <si>
    <t>沉浮形意書精品</t>
  </si>
  <si>
    <t>沉浮徽州精品</t>
  </si>
  <si>
    <t>沉浮梅花精品</t>
  </si>
  <si>
    <t>新疆維吾爾自治區</t>
  </si>
  <si>
    <t>中國歷代經典寶庫--文選快讀</t>
  </si>
  <si>
    <t>增注史要（一函四冊）</t>
  </si>
  <si>
    <t>段注說文正字 (一函二冊)</t>
  </si>
  <si>
    <t>袁氏藝文志</t>
  </si>
  <si>
    <t>案底刺繡</t>
  </si>
  <si>
    <t>中國西部藝術論</t>
  </si>
  <si>
    <t>中國20世紀文學思潮論</t>
  </si>
  <si>
    <t>中國20世紀文學價值論</t>
  </si>
  <si>
    <t>中國彩陶藝術論（全彩）</t>
  </si>
  <si>
    <t>中國歷代文物鑒賞:陶瓷卷</t>
  </si>
  <si>
    <t>老自行車</t>
  </si>
  <si>
    <t>2006年藝術品拍賣排行榜. 書畫卷</t>
  </si>
  <si>
    <t>瀋陽故宮博物院院藏·琺瑯</t>
  </si>
  <si>
    <t>★問題與障礙—中國走向全面小康的社會政策思考</t>
  </si>
  <si>
    <t>知識份子與中國現代化</t>
  </si>
  <si>
    <t>中國詩學（3）</t>
  </si>
  <si>
    <t>漢景帝評傳</t>
  </si>
  <si>
    <t>天寶十四載——盛世終結與李楊情變</t>
  </si>
  <si>
    <t>盛世情懷:天漢雄風與盛唐氣象</t>
  </si>
  <si>
    <t>揚州瓊花詩詞</t>
  </si>
  <si>
    <t>揚州風土記略 蕪城懷舊錄</t>
  </si>
  <si>
    <t>揚州風物</t>
  </si>
  <si>
    <t>風流揚州</t>
  </si>
  <si>
    <t>揚州館藏文物精華</t>
  </si>
  <si>
    <t>揚州建置筆談</t>
  </si>
  <si>
    <t>揚州覽勝錄 揚州名勝錄</t>
  </si>
  <si>
    <t>宋元本行格表</t>
  </si>
  <si>
    <t>民俗上海——閘北卷</t>
  </si>
  <si>
    <t>清代朴學與中國文學-上.下冊</t>
  </si>
  <si>
    <t>宋明理學與中國文學-上.下冊</t>
  </si>
  <si>
    <t>近代西學與中國文學-上.下冊</t>
  </si>
  <si>
    <t>兩漢經學與中國文學-上.下冊</t>
  </si>
  <si>
    <t>先秦諸子與中國文學-上.下冊</t>
  </si>
  <si>
    <t>風度服飾</t>
  </si>
  <si>
    <t>西遊記 3</t>
  </si>
  <si>
    <t>西遊記 6</t>
  </si>
  <si>
    <t>西遊記 4</t>
  </si>
  <si>
    <t>西遊記 5</t>
  </si>
  <si>
    <t>西遊記 9</t>
  </si>
  <si>
    <t>西遊記 8</t>
  </si>
  <si>
    <t>西遊記 7</t>
  </si>
  <si>
    <t>西遊記 10</t>
  </si>
  <si>
    <t>西遊記 11</t>
  </si>
  <si>
    <t>西遊記 12</t>
  </si>
  <si>
    <t>畫詠新疆</t>
  </si>
  <si>
    <t>黔東南人口的現狀與未來</t>
  </si>
  <si>
    <t>錦裏街名話舊</t>
  </si>
  <si>
    <t>風雨一生陽翰笙</t>
  </si>
  <si>
    <t>中國現代文學的巴蜀視野</t>
  </si>
  <si>
    <t>成都市志·哲學社會科學志</t>
  </si>
  <si>
    <t>社會失范與道德實踐:吳宓與吳芳吉</t>
  </si>
  <si>
    <t>可持續發展與全球化挑戰</t>
  </si>
  <si>
    <t>朱德巴蜀傳奇</t>
  </si>
  <si>
    <t>20世紀70年代以來的村落變遷-江家堰村調查</t>
  </si>
  <si>
    <t>甯南縣政協文史資料</t>
  </si>
  <si>
    <t>淮南舊注校理（一函一冊）</t>
  </si>
  <si>
    <t>康熙的大牆</t>
  </si>
  <si>
    <t>周易舉證評述</t>
  </si>
  <si>
    <t>敦煌殘拾</t>
  </si>
  <si>
    <t>說破興亡多少事：明清歷史小說易代主題研究</t>
  </si>
  <si>
    <t>揭秘光緒陵-崇陵地下宮殿清理之謎</t>
  </si>
  <si>
    <t>中華酒典(上中下)</t>
  </si>
  <si>
    <t>那時漢朝，禍起蕭牆 王莽斬漢</t>
  </si>
  <si>
    <t>武陵山區古代文化概論</t>
  </si>
  <si>
    <t>湘西畫卷</t>
  </si>
  <si>
    <t>自己的嫁衣</t>
  </si>
  <si>
    <t>開卷閒話續編</t>
  </si>
  <si>
    <t>尋衣記-追尋衣服的似水流年</t>
  </si>
  <si>
    <t>中國雕塑藝術史(上中下)</t>
  </si>
  <si>
    <t>王子雲西北寫生選(1940-1945)</t>
  </si>
  <si>
    <t>不亦樂人乎:世紀老人方成</t>
  </si>
  <si>
    <t>斯人獨徘徊：世紀老人廖冰兄</t>
  </si>
  <si>
    <t>新中國古籍整理圖書總目錄</t>
  </si>
  <si>
    <t>孟子圖文本</t>
  </si>
  <si>
    <t>里耶發掘報告</t>
  </si>
  <si>
    <t>社會史視角下的近代湖湘文化</t>
  </si>
  <si>
    <t>中國煙民與煙文化</t>
  </si>
  <si>
    <t>暴露還是遮羞?</t>
  </si>
  <si>
    <t>先秦頂級文臣(Xiron)</t>
  </si>
  <si>
    <t>隋唐頂級文臣(Xiron)</t>
  </si>
  <si>
    <t>清朝頂級文臣(Xiron)</t>
  </si>
  <si>
    <t>魏晉南北朝頂級文臣</t>
  </si>
  <si>
    <t>創意行銷˙手繪POP基礎</t>
  </si>
  <si>
    <t>建設新中國</t>
  </si>
  <si>
    <t>人龍帝范李世民傳</t>
  </si>
  <si>
    <t>沉香屑-第一爐香</t>
  </si>
  <si>
    <t>上海1800－0600</t>
  </si>
  <si>
    <t>金屋藏神</t>
  </si>
  <si>
    <t>服飾繪畫:創意篇</t>
  </si>
  <si>
    <t>服飾創意:製作篇</t>
  </si>
  <si>
    <t>三挈海上花:張愛玲與韓邦慶</t>
  </si>
  <si>
    <t>淘氣包馬小跳系列--漂亮女孩夏林果</t>
  </si>
  <si>
    <t>單挑誰怕誰</t>
  </si>
  <si>
    <t>淘氣包馬小跳系列--瘋ㄚ頭杜真子</t>
  </si>
  <si>
    <t>戀戀薰衣草</t>
  </si>
  <si>
    <t>大頭兒子和隔壁大大叔</t>
  </si>
  <si>
    <t>大頭兒子和圍裙媽媽</t>
  </si>
  <si>
    <t>淘氣包馬小跳系列--巨人的城堡</t>
  </si>
  <si>
    <t>小雨人的傘</t>
  </si>
  <si>
    <t>小象背上的電話機</t>
  </si>
  <si>
    <t>國家寶藏南海鬼穀</t>
  </si>
  <si>
    <t>民俗視野中的清代揚州俗文化</t>
  </si>
  <si>
    <t>中華英烈墓</t>
  </si>
  <si>
    <t>源遠流長的中華孝文化</t>
  </si>
  <si>
    <t>人去夢覺時:雕塑大師江小鶼傳</t>
  </si>
  <si>
    <t>上海歷史的今天</t>
  </si>
  <si>
    <t>中國帳鉤賞玩</t>
  </si>
  <si>
    <t>中國淺絳彩瓷畫賞玩</t>
  </si>
  <si>
    <t>中國清代彩繪瓷畫賞玩</t>
  </si>
  <si>
    <t>家國書</t>
  </si>
  <si>
    <t>4.8家庭飲食計劃之母子食方-孕期營養餐</t>
  </si>
  <si>
    <t>4.8家庭飲食計劃之母子食方-嬰兒營養餐</t>
  </si>
  <si>
    <t>廬山老相冊：2 1895-1987</t>
  </si>
  <si>
    <t>廬山老相冊:第3輯:1895~1987</t>
  </si>
  <si>
    <t>畫說中國傳統節日：清明節</t>
  </si>
  <si>
    <t>青田石鑒賞與投資(CXWY)</t>
  </si>
  <si>
    <t>吳組緗薦古代白話小說</t>
  </si>
  <si>
    <t>惜餘春軼事 揚州訪舊錄</t>
  </si>
  <si>
    <t>山色有無.揚州名山</t>
  </si>
  <si>
    <t>揚州八刻</t>
  </si>
  <si>
    <t>國學答問：圖文本</t>
  </si>
  <si>
    <t>釋氏疑年錄</t>
  </si>
  <si>
    <t>群書考索(上下)</t>
  </si>
  <si>
    <t>維揚一枝花--揚州劇場藝術</t>
  </si>
  <si>
    <t>笑談古今事--揚州評話藝術</t>
  </si>
  <si>
    <t>魁儡演真情--揚州木偶藝術</t>
  </si>
  <si>
    <t>弦歌不了情--揚州彈詞藝術</t>
  </si>
  <si>
    <t>大理喜洲-千年古鎮的魅力</t>
  </si>
  <si>
    <t>香格里拉獨克宗-香巴拉的月光寶城</t>
  </si>
  <si>
    <t>雲南新旅遊風物志</t>
  </si>
  <si>
    <t>浦江清中國文學史講義.宋元部份</t>
  </si>
  <si>
    <t>中華藥膳 上下</t>
  </si>
  <si>
    <t>漫唱心曲譜嬋娟</t>
  </si>
  <si>
    <t>明末清初詞風研究</t>
  </si>
  <si>
    <t>浦江清中國文學史講義. 明清部分(《名師講義》叢書)</t>
  </si>
  <si>
    <t>劉炸昌美國史講義</t>
  </si>
  <si>
    <t>《九宮大成南北詞宮譜》聲調尋繹</t>
  </si>
  <si>
    <t>正史彙目</t>
  </si>
  <si>
    <t>張澍研究</t>
  </si>
  <si>
    <t>國家地理·神秘中國：遺落的名人往事</t>
  </si>
  <si>
    <t>國家地理·神秘中國：靈山秀水之間</t>
  </si>
  <si>
    <t>國家地理·神秘中國：緣結奇石美玉</t>
  </si>
  <si>
    <t>名醫大會診</t>
  </si>
  <si>
    <t>皇帝與文人</t>
  </si>
  <si>
    <t>盧灣卷-在精品魅力間徜徉</t>
  </si>
  <si>
    <t>中國功夫寶典</t>
  </si>
  <si>
    <t>剪影話滄桑:中國現代文壇珍聞趣事</t>
  </si>
  <si>
    <t>詠史二部曲</t>
  </si>
  <si>
    <t>圖說濟南老建築.民居卷</t>
  </si>
  <si>
    <t>圖書濟南老建築.古代卷</t>
  </si>
  <si>
    <t>圖說濟南老建築.近代卷</t>
  </si>
  <si>
    <t>南船北馬總他鄉:中國詩性地理上的江南塞北</t>
  </si>
  <si>
    <t>詩心滄桑:歷史與人物的另類解讀與追述</t>
  </si>
  <si>
    <t>梓人遺製圖說</t>
  </si>
  <si>
    <t>中國吸煙史話</t>
  </si>
  <si>
    <t>在文學館聽講座：評聊齋志異說儒林外史</t>
  </si>
  <si>
    <t>戲劇的味道</t>
  </si>
  <si>
    <t>鏗鏘大唐</t>
  </si>
  <si>
    <t>古人妻孥·閨房獨繡</t>
  </si>
  <si>
    <t>古人金屬·銅錫鐵器</t>
  </si>
  <si>
    <t>古人之雕·維石見長</t>
  </si>
  <si>
    <t>古人鑄寶·金銀佩飾</t>
  </si>
  <si>
    <t>陳振濂談中國繪畫史3.元末-明</t>
  </si>
  <si>
    <t>魯迅《古小說鉤沉》手稿</t>
  </si>
  <si>
    <t>大話元王朝-上下</t>
  </si>
  <si>
    <t>異域的風情:開闊眼界的70個世界民俗</t>
  </si>
  <si>
    <t>歷史的可能與限度</t>
  </si>
  <si>
    <t>五千年帝王歷史演義：上古篇（手繪版）</t>
  </si>
  <si>
    <t>五千年帝王歷史演義：元史篇（手繪版）</t>
  </si>
  <si>
    <t>五千年帝王歷史演義：秦漢篇（手繪版）</t>
  </si>
  <si>
    <t>哲學家和狼</t>
  </si>
  <si>
    <t>陳琪中國畫書法小品集</t>
  </si>
  <si>
    <t>當代對話篇</t>
  </si>
  <si>
    <t>考識辨異篇</t>
  </si>
  <si>
    <t>面對中國畫</t>
  </si>
  <si>
    <t>中國花鳥畫通鑒（1）</t>
  </si>
  <si>
    <t>中國花鳥畫通鑒（2）</t>
  </si>
  <si>
    <t>中國花鳥畫通鑒（5）</t>
  </si>
  <si>
    <t>中國花鳥畫通鑒（6）</t>
  </si>
  <si>
    <t>中國花鳥畫通鑒（7）</t>
  </si>
  <si>
    <t>中國花鳥畫通鑒（12）</t>
  </si>
  <si>
    <t>中國花鳥畫通鑒（13）</t>
  </si>
  <si>
    <t>中國花鳥畫通鑒（15）</t>
  </si>
  <si>
    <t>中國花鳥畫通鑒（16）</t>
  </si>
  <si>
    <t>中國花鳥畫通鑒（17）</t>
  </si>
  <si>
    <t>新疆荒漠昆蟲區系及其形成與演變</t>
  </si>
  <si>
    <t>新疆夏爾希里自然保護區綜合科學考察</t>
  </si>
  <si>
    <t>新疆極端環境植物種質資源的研究</t>
  </si>
  <si>
    <t>伊梨何流域重點防護林及林業生態科技示範研究</t>
  </si>
  <si>
    <t>新疆北鯢的故鄉[溫泉神話]</t>
  </si>
  <si>
    <t>新疆北鯢的故鄉[溫泉聖境]</t>
  </si>
  <si>
    <t>中國波斑鳩</t>
  </si>
  <si>
    <t>元刻史記彭寅翁本研究</t>
  </si>
  <si>
    <t>元史淺識</t>
  </si>
  <si>
    <t>唐宋詞與唐宋文化</t>
  </si>
  <si>
    <t>宋南渡詞人群體研究</t>
  </si>
  <si>
    <t>大曆詩風</t>
  </si>
  <si>
    <t>鄭振鐸講文學(近代學術名家大講堂)</t>
  </si>
  <si>
    <t>清代文學論稿</t>
  </si>
  <si>
    <t>吳梅講詞曲(近代學術名家大講堂)</t>
  </si>
  <si>
    <t>孟森講明史(近代學術名家大講堂)</t>
  </si>
  <si>
    <t>人生幾何時-?事·傳奇</t>
  </si>
  <si>
    <t>腸斷白蘋洲-閨意·宮詞</t>
  </si>
  <si>
    <t>似花還似非花-詠物·花鳥</t>
  </si>
  <si>
    <t>悠悠百世後-詠史·懷古</t>
  </si>
  <si>
    <t>玩物尚志</t>
  </si>
  <si>
    <t>清代毗陵詩派研究</t>
  </si>
  <si>
    <t>半壁史書－歷史上那些姐兒們2</t>
  </si>
  <si>
    <t>半壁史書－歷史上那些姐兒們1</t>
  </si>
  <si>
    <t>中國新文學的現代性追求</t>
  </si>
  <si>
    <t>佛教香花：歷史變遷中的宗教藝術與地方社會</t>
  </si>
  <si>
    <t>外星小販巴拉巴</t>
  </si>
  <si>
    <t>大頭兒子在大海邊</t>
  </si>
  <si>
    <t>大頭兒子在森林裡</t>
  </si>
  <si>
    <t>大頭兒子上幼兒園</t>
  </si>
  <si>
    <t>大頭兒子和小餅乾</t>
  </si>
  <si>
    <t>中國民舞</t>
  </si>
  <si>
    <t>國畫形式美學的展開-大學繪畫藝術形式與技巧的專業訓練系統</t>
  </si>
  <si>
    <t>碑帖善本精華.袁安碑.袁敞碑</t>
  </si>
  <si>
    <t>北齊北周文補遺</t>
  </si>
  <si>
    <t>周邦彥別傳: 周邦彥生平事蹟新證</t>
  </si>
  <si>
    <t>唐史論叢（第十輯）</t>
  </si>
  <si>
    <t>圖說孟子</t>
  </si>
  <si>
    <t>中國年節物語</t>
  </si>
  <si>
    <t>民俗上海——楊浦卷</t>
  </si>
  <si>
    <t>中國古代多元一體的設計文化</t>
  </si>
  <si>
    <t>興衰</t>
  </si>
  <si>
    <t>文藝民俗學</t>
  </si>
  <si>
    <t>歷代鳥食罐精品鑒藏</t>
  </si>
  <si>
    <t>世博會歷史變遷與歷屆紀念章</t>
  </si>
  <si>
    <t>職場紅樓</t>
  </si>
  <si>
    <t>三生三世 桃花依舊</t>
  </si>
  <si>
    <t>中國戲劇論辯（上下）</t>
  </si>
  <si>
    <t>中國美術論辯(上下)(平)</t>
  </si>
  <si>
    <t>大帝手中的風雲</t>
  </si>
  <si>
    <t>笙歌滿庭芳 : 江西古戲臺旅遊</t>
  </si>
  <si>
    <t>鄉村的表情(彩色)</t>
  </si>
  <si>
    <t>中國古橋(平)(《中華文化叢書》)</t>
  </si>
  <si>
    <t>30年文學典藏：小說卷(一)</t>
  </si>
  <si>
    <t>30年文學典藏：小說卷(二)</t>
  </si>
  <si>
    <t>30年文學典藏：散文卷</t>
  </si>
  <si>
    <t>30年文學典藏：報告文學卷</t>
  </si>
  <si>
    <t>中醫針炙(平)(《中華文化叢書》)</t>
  </si>
  <si>
    <t>親切的神靈</t>
  </si>
  <si>
    <t>悠悠鳳與凰那些過往的愛情與陰謀</t>
  </si>
  <si>
    <t>冷箭(上)</t>
  </si>
  <si>
    <t>冷箭(下)</t>
  </si>
  <si>
    <t>自己的酒盅</t>
  </si>
  <si>
    <t>炭灰裏的鎮</t>
  </si>
  <si>
    <t>紡織藝術的演變-紡織藝術</t>
  </si>
  <si>
    <t>歷史的見證：印刷技術</t>
  </si>
  <si>
    <t>文化的傳播：造紙藝術</t>
  </si>
  <si>
    <t>凝固的藝術：建築藝術</t>
  </si>
  <si>
    <t>圍屋裏的女人</t>
  </si>
  <si>
    <t>楚漢爭雄</t>
  </si>
  <si>
    <t>我眼中的烏魯木齊</t>
  </si>
  <si>
    <t>絲路之謎山的故事</t>
  </si>
  <si>
    <t>絲路之謎河流湖泊的故事</t>
  </si>
  <si>
    <t>絲路之謎人物的故事</t>
  </si>
  <si>
    <t>絲路之謎植物的故事</t>
  </si>
  <si>
    <t>絲路之謎動物的故事</t>
  </si>
  <si>
    <t>絲路之謎瓜黑的故事</t>
  </si>
  <si>
    <t>新疆情韻（精裝）</t>
  </si>
  <si>
    <t>中國新疆奇石鑑賞與投資</t>
  </si>
  <si>
    <t>世博會獎牌收藏與鑒賞</t>
  </si>
  <si>
    <t>婚慶喜壽全典</t>
  </si>
  <si>
    <t>我國房地產業中長期發展目標研究-2009年第4卷(總第39卷)</t>
  </si>
  <si>
    <t>世界第六大城市群-長江三角洲城市群崛起之路</t>
  </si>
  <si>
    <t>大人物和大問題--那些影響歷史的人和事</t>
  </si>
  <si>
    <t>西方學者論智庫</t>
  </si>
  <si>
    <t>國際著名智庫研究</t>
  </si>
  <si>
    <t>熱血丹心鑄畫魂:韓樂然繪畫藝術展</t>
  </si>
  <si>
    <t>中國畫名家精品賞鑒</t>
  </si>
  <si>
    <t>源與流:傳統文化與現代設計</t>
  </si>
  <si>
    <t>閱讀奧林匹克.建築卷（彩圖版）</t>
  </si>
  <si>
    <t>二十四史故事（全三卷）</t>
  </si>
  <si>
    <t>資治通鑒故事（全三卷）</t>
  </si>
  <si>
    <t>史記故事（全三卷）</t>
  </si>
  <si>
    <t>馬氏文通研究</t>
  </si>
  <si>
    <t>中國古代文論與文獻探微(比較文學與文藝學叢書)</t>
  </si>
  <si>
    <t>漢語探索</t>
  </si>
  <si>
    <t>兩唐書列傳辭彙比較研究</t>
  </si>
  <si>
    <t>論語新編詮釋</t>
  </si>
  <si>
    <t>五四文學的生成與可能</t>
  </si>
  <si>
    <t>陽明學佛道關係研究</t>
  </si>
  <si>
    <t>先秦思想劄記</t>
  </si>
  <si>
    <t>宋詞的文學質性研究</t>
  </si>
  <si>
    <t>重讀秦始皇</t>
  </si>
  <si>
    <t>四川孝道文化</t>
  </si>
  <si>
    <t>&lt;&lt;元詩選&gt;&gt;與元詩文獻研究</t>
  </si>
  <si>
    <t>《三國志》同義詞及其歷時演變研究</t>
  </si>
  <si>
    <t>郭沫若研究三十年</t>
  </si>
  <si>
    <t>四庫唐人文集研究</t>
  </si>
  <si>
    <t>六朝文學與文獻</t>
  </si>
  <si>
    <t>文史蠡測</t>
  </si>
  <si>
    <t>民國時期成都出版業研究</t>
  </si>
  <si>
    <t>拍案說史：中國歷史的傳奇與流言</t>
  </si>
  <si>
    <t>拍案說史：中國歷史的暗角與拐點</t>
  </si>
  <si>
    <t>華麗家族</t>
  </si>
  <si>
    <t>權力家族</t>
  </si>
  <si>
    <t>城傳-世界名城的歷史側影</t>
  </si>
  <si>
    <t>城記-世界名城的傳奇記憶</t>
  </si>
  <si>
    <t>城緣-世界名城的永恆情懷</t>
  </si>
  <si>
    <t>城記-中國名城的傳奇記憶</t>
  </si>
  <si>
    <t>城傳-中國名城的歷史側影</t>
  </si>
  <si>
    <t>城畫-世界名城的經典面孔</t>
  </si>
  <si>
    <t>城畫-中國名城的經典面孔</t>
  </si>
  <si>
    <t>藏地傳奇-三幅唐卡殘卷引發的西藏探險-大結局 極樂之國</t>
  </si>
  <si>
    <t>歷史是個什麼玩意兒2</t>
  </si>
  <si>
    <t>水滸傳-博學天下</t>
  </si>
  <si>
    <t>《新唐書藝文志》著錄小說集解</t>
  </si>
  <si>
    <t>讀不盡的有形歷史</t>
  </si>
  <si>
    <t>義理與考據: 清中期《禮記》詮釋的兩種策略</t>
  </si>
  <si>
    <t>孔穎達《春秋正傳正義》</t>
  </si>
  <si>
    <t>中國近三百年學術史</t>
  </si>
  <si>
    <t>稗官與才人-中國古代小說考論</t>
  </si>
  <si>
    <t>中國電視劇改編的歷史嬗變與文化審視</t>
  </si>
  <si>
    <t>唐代社會概論˙宋太學生就國運動</t>
  </si>
  <si>
    <t>哭泣的歷史：正說走西口</t>
  </si>
  <si>
    <t>李家墳-一件讓我想了四十多年的事</t>
  </si>
  <si>
    <t>萬榮古今名人</t>
  </si>
  <si>
    <t>揚州詩詠</t>
  </si>
  <si>
    <t>揚州文選</t>
  </si>
  <si>
    <t>揚州建築雕飾藝術</t>
  </si>
  <si>
    <t>中國考試通史˙先秦至隋唐五代卷</t>
  </si>
  <si>
    <t>中國考試通史˙宋遼金元卷</t>
  </si>
  <si>
    <t>中國考試通史˙明清卷</t>
  </si>
  <si>
    <t>中國考試通史˙民國卷</t>
  </si>
  <si>
    <t>中國考試通史˙當代卷</t>
  </si>
  <si>
    <t>漢字史話(漢字文化通識書系)</t>
  </si>
  <si>
    <t>元雜劇藝術生產論</t>
  </si>
  <si>
    <t>美學前沿.第3輯</t>
  </si>
  <si>
    <t>說不盡的歷史話題</t>
  </si>
  <si>
    <t>漢代思想史專題論稿</t>
  </si>
  <si>
    <t>弄斧集－音樂史事門外譚</t>
  </si>
  <si>
    <t>歌劇綜合美的當代呈現</t>
  </si>
  <si>
    <t>洛水瀍河映王城(會館文化叢書之一)</t>
  </si>
  <si>
    <t>唐詩與傳奇的生成</t>
  </si>
  <si>
    <t>安徽民間傳統工藝禮贊</t>
  </si>
  <si>
    <t>康熙會盟</t>
  </si>
  <si>
    <t>建築文化大講堂-中國古代建築.世界古代建築.近現代建築</t>
  </si>
  <si>
    <t>美術考古學叢書.美術考古民藝術美學</t>
  </si>
  <si>
    <t>世博文化解讀</t>
  </si>
  <si>
    <t>北京美術史(2冊)</t>
  </si>
  <si>
    <t>皇城的晚鐘</t>
  </si>
  <si>
    <t>費孝通自選集</t>
  </si>
  <si>
    <t>中國女性文化. No.10</t>
  </si>
  <si>
    <t>歲月傳真--我和當代作家　</t>
  </si>
  <si>
    <t>期刊：長流的江河</t>
  </si>
  <si>
    <t>為書籍的一生</t>
  </si>
  <si>
    <t>華麗轉身　</t>
  </si>
  <si>
    <t>書林漫步--聶震宇序跋隨筆集</t>
  </si>
  <si>
    <t>梁啟超和中國現代文化思潮</t>
  </si>
  <si>
    <t>艱辛的開拓：石仲泉自選集　</t>
  </si>
  <si>
    <t>錢端升自選集　</t>
  </si>
  <si>
    <t>我們怎樣閱讀中國</t>
  </si>
  <si>
    <t>影視學術前沿.在歷史與藝術之間:中國歷史題材電視劇文化詩學研究</t>
  </si>
  <si>
    <t>有韻說部無聲劇：清代小說劇曲相互改編研究</t>
  </si>
  <si>
    <t>閨閣與畫舫:清代嘉慶道光年間的江南文人和女性研究</t>
  </si>
  <si>
    <t>明清之際小說作家研究</t>
  </si>
  <si>
    <t>西方音樂史與名作賞析</t>
  </si>
  <si>
    <t>新疆名勝古蹟</t>
  </si>
  <si>
    <t>新疆民俗</t>
  </si>
  <si>
    <t>風雪狼道</t>
  </si>
  <si>
    <t>草原的祝福</t>
  </si>
  <si>
    <t>中國維吾爾十二木卡姆藝術大全</t>
  </si>
  <si>
    <t>中國維吾爾十二木卡姆賞析</t>
  </si>
  <si>
    <t>載白氈帽的人</t>
  </si>
  <si>
    <t>中國哈薩克民歌</t>
  </si>
  <si>
    <t>王洛賓的歌聲</t>
  </si>
  <si>
    <t>神秘中國 絲路之謎</t>
  </si>
  <si>
    <t>新疆石窟藝術</t>
  </si>
  <si>
    <t>中國新疆壁畫全集</t>
  </si>
  <si>
    <t>本局書號</t>
  </si>
  <si>
    <t>書名</t>
  </si>
  <si>
    <t>作者</t>
  </si>
  <si>
    <t>人民幣</t>
  </si>
  <si>
    <t>00931200</t>
  </si>
  <si>
    <t/>
  </si>
  <si>
    <t>00931200A</t>
  </si>
  <si>
    <t>00931200B</t>
  </si>
  <si>
    <t>01006019</t>
  </si>
  <si>
    <t>7010060193</t>
  </si>
  <si>
    <t>周均平</t>
  </si>
  <si>
    <t>人民文學</t>
  </si>
  <si>
    <t>01006609</t>
  </si>
  <si>
    <t>9787010066097</t>
  </si>
  <si>
    <t>劉桂榮</t>
  </si>
  <si>
    <t>人民</t>
  </si>
  <si>
    <t>01006634</t>
  </si>
  <si>
    <t>9787010066349</t>
  </si>
  <si>
    <t>黃梅波</t>
  </si>
  <si>
    <t>01006859</t>
  </si>
  <si>
    <t>9787010068596</t>
  </si>
  <si>
    <t>鍾敬文主編</t>
  </si>
  <si>
    <t>01006949</t>
  </si>
  <si>
    <t>張曉梅</t>
  </si>
  <si>
    <t>01007044</t>
  </si>
  <si>
    <t>9787010070445</t>
  </si>
  <si>
    <t>闞紅柳</t>
  </si>
  <si>
    <t>01007103</t>
  </si>
  <si>
    <t>9787010071039</t>
  </si>
  <si>
    <t>梁啟超</t>
  </si>
  <si>
    <t>01007539</t>
  </si>
  <si>
    <t>9787010075396</t>
  </si>
  <si>
    <t>陸建華</t>
  </si>
  <si>
    <t>01007599</t>
  </si>
  <si>
    <t>9787010075990</t>
  </si>
  <si>
    <t>董德福、史雲波</t>
  </si>
  <si>
    <t>01007908</t>
  </si>
  <si>
    <t>9787010079080</t>
  </si>
  <si>
    <t>方紅梅著</t>
  </si>
  <si>
    <t>01008522</t>
  </si>
  <si>
    <t>9787010085227</t>
  </si>
  <si>
    <t>馮小祿著</t>
  </si>
  <si>
    <t>01008551</t>
  </si>
  <si>
    <t>9787010085517</t>
  </si>
  <si>
    <t>中國移動通信聯合會課題組</t>
  </si>
  <si>
    <t>01008602</t>
  </si>
  <si>
    <t>9787010086026</t>
  </si>
  <si>
    <t>王崗.傅秋爽主編</t>
  </si>
  <si>
    <t>01008698</t>
  </si>
  <si>
    <t>9787010086989</t>
  </si>
  <si>
    <t>何建超 吳廣懷</t>
  </si>
  <si>
    <t>01008711</t>
  </si>
  <si>
    <t>9787010087115</t>
  </si>
  <si>
    <t>姚賢玲</t>
  </si>
  <si>
    <t>01008731</t>
  </si>
  <si>
    <t>9787010087313</t>
  </si>
  <si>
    <t>李傑. 著</t>
  </si>
  <si>
    <t>01008876</t>
  </si>
  <si>
    <t>9787010088761</t>
  </si>
  <si>
    <t>邊家珍</t>
  </si>
  <si>
    <t>01009963</t>
  </si>
  <si>
    <t>9787010099637</t>
  </si>
  <si>
    <t>侯惠勤</t>
  </si>
  <si>
    <t>02003096</t>
  </si>
  <si>
    <t>7020030963</t>
  </si>
  <si>
    <t>端木蕻良</t>
  </si>
  <si>
    <t>廣陵書社</t>
  </si>
  <si>
    <t>02003199</t>
  </si>
  <si>
    <t>7020031994</t>
  </si>
  <si>
    <t>李存光</t>
  </si>
  <si>
    <t>02003346</t>
  </si>
  <si>
    <t>7020033466</t>
  </si>
  <si>
    <t>顏鐵生</t>
  </si>
  <si>
    <t>02003828</t>
  </si>
  <si>
    <t>702003828X</t>
  </si>
  <si>
    <t>王璞</t>
  </si>
  <si>
    <t>02003843</t>
  </si>
  <si>
    <t>7020038433</t>
  </si>
  <si>
    <t>劉克蘇</t>
  </si>
  <si>
    <t>02004390</t>
  </si>
  <si>
    <t>7020043909</t>
  </si>
  <si>
    <t>邵麗</t>
  </si>
  <si>
    <t>02004406</t>
  </si>
  <si>
    <t>7020044069</t>
  </si>
  <si>
    <t>南帆</t>
  </si>
  <si>
    <t>02004414</t>
  </si>
  <si>
    <t>702004414X</t>
  </si>
  <si>
    <t>鄭文光</t>
  </si>
  <si>
    <t>02004415</t>
  </si>
  <si>
    <t>7020044158</t>
  </si>
  <si>
    <t>02004479</t>
  </si>
  <si>
    <t>7020044794</t>
  </si>
  <si>
    <t>陳祖芬</t>
  </si>
  <si>
    <t>02004581</t>
  </si>
  <si>
    <t>7020045812</t>
  </si>
  <si>
    <t>徐小斌</t>
  </si>
  <si>
    <t>02004597</t>
  </si>
  <si>
    <t>7020045979</t>
  </si>
  <si>
    <t>鄧一光</t>
  </si>
  <si>
    <t>02004641</t>
  </si>
  <si>
    <t>702004641X</t>
  </si>
  <si>
    <t>孫慧芬</t>
  </si>
  <si>
    <t>02004673</t>
  </si>
  <si>
    <t>7020046738</t>
  </si>
  <si>
    <t>02004708</t>
  </si>
  <si>
    <t>7020047084</t>
  </si>
  <si>
    <t>.</t>
  </si>
  <si>
    <t>02004755</t>
  </si>
  <si>
    <t>7020047556</t>
  </si>
  <si>
    <t>海岩</t>
  </si>
  <si>
    <t>02004872</t>
  </si>
  <si>
    <t>7020048722</t>
  </si>
  <si>
    <t>喬喬</t>
  </si>
  <si>
    <t>02004983</t>
  </si>
  <si>
    <t>7020049834</t>
  </si>
  <si>
    <t>中國社會科學院文學研</t>
  </si>
  <si>
    <t>02005040</t>
  </si>
  <si>
    <t>7020050409</t>
  </si>
  <si>
    <t>理由</t>
  </si>
  <si>
    <t>02005042</t>
  </si>
  <si>
    <t>7020050425</t>
  </si>
  <si>
    <t>胡平</t>
  </si>
  <si>
    <t>02005043</t>
  </si>
  <si>
    <t>7020050433</t>
  </si>
  <si>
    <t>趙瑜</t>
  </si>
  <si>
    <t>02005044</t>
  </si>
  <si>
    <t>7020050441</t>
  </si>
  <si>
    <t>柯岩</t>
  </si>
  <si>
    <t>02005045</t>
  </si>
  <si>
    <t>702005045X</t>
  </si>
  <si>
    <t>何建明</t>
  </si>
  <si>
    <t>02005046</t>
  </si>
  <si>
    <t>7020050468</t>
  </si>
  <si>
    <t>陳桂棣</t>
  </si>
  <si>
    <t>02005179</t>
  </si>
  <si>
    <t>7020051790</t>
  </si>
  <si>
    <t>阿來</t>
  </si>
  <si>
    <t>02005575</t>
  </si>
  <si>
    <t>9787020055753</t>
  </si>
  <si>
    <t>趙敏俐，劉國民選注</t>
  </si>
  <si>
    <t>02005947</t>
  </si>
  <si>
    <t>7020059473</t>
  </si>
  <si>
    <t>劉醒龍</t>
  </si>
  <si>
    <t>02005993</t>
  </si>
  <si>
    <t>7020059937</t>
  </si>
  <si>
    <t>02006013</t>
  </si>
  <si>
    <t>7020060137</t>
  </si>
  <si>
    <t>池莉</t>
  </si>
  <si>
    <t>02006571</t>
  </si>
  <si>
    <t>9787020065714</t>
  </si>
  <si>
    <t>唐浩明</t>
  </si>
  <si>
    <t>02007607</t>
  </si>
  <si>
    <t>9787020076079</t>
  </si>
  <si>
    <t>張學軍著</t>
  </si>
  <si>
    <t>02007708</t>
  </si>
  <si>
    <t>9787020077083</t>
  </si>
  <si>
    <t>陳愉慶</t>
  </si>
  <si>
    <t>02007801</t>
  </si>
  <si>
    <t>9787020078011</t>
  </si>
  <si>
    <t>郭沫若著</t>
  </si>
  <si>
    <t>02007990</t>
  </si>
  <si>
    <t>9787020079902</t>
  </si>
  <si>
    <t>於堅. 等著</t>
  </si>
  <si>
    <t>02008085</t>
  </si>
  <si>
    <t>9787020080854</t>
  </si>
  <si>
    <t>張明華</t>
  </si>
  <si>
    <t>03019623</t>
  </si>
  <si>
    <t>9787030196231</t>
  </si>
  <si>
    <t>趙學敏</t>
  </si>
  <si>
    <t>科學</t>
  </si>
  <si>
    <t>03023803</t>
  </si>
  <si>
    <t>9787030238030</t>
  </si>
  <si>
    <t>常素霞</t>
  </si>
  <si>
    <t>03023805</t>
  </si>
  <si>
    <t>9787030238054</t>
  </si>
  <si>
    <t>03023853</t>
  </si>
  <si>
    <t>9787030238535</t>
  </si>
  <si>
    <t>張光興</t>
  </si>
  <si>
    <t>03026295</t>
  </si>
  <si>
    <t>9787030262950</t>
  </si>
  <si>
    <t>潘教峰</t>
  </si>
  <si>
    <t>03026905</t>
  </si>
  <si>
    <t>9787030269057</t>
  </si>
  <si>
    <t>孫黎</t>
  </si>
  <si>
    <t>04016481</t>
  </si>
  <si>
    <t>9787040164817</t>
  </si>
  <si>
    <t>袁行霈</t>
  </si>
  <si>
    <t>高等教育</t>
  </si>
  <si>
    <t>04028290</t>
  </si>
  <si>
    <t>9787040282900</t>
  </si>
  <si>
    <t>潘志濤</t>
  </si>
  <si>
    <t>藍色暢想</t>
  </si>
  <si>
    <t>10004643</t>
  </si>
  <si>
    <t>9787100046435</t>
  </si>
  <si>
    <t>陳友冰</t>
  </si>
  <si>
    <t>商務印書</t>
  </si>
  <si>
    <t>10005088</t>
  </si>
  <si>
    <t>710005088X</t>
  </si>
  <si>
    <t>李鳳亮</t>
  </si>
  <si>
    <t>10005328</t>
  </si>
  <si>
    <t>9787100053280</t>
  </si>
  <si>
    <t>殷國光</t>
  </si>
  <si>
    <t>10005489</t>
  </si>
  <si>
    <t>9787100054898</t>
  </si>
  <si>
    <t>吳建生</t>
  </si>
  <si>
    <t>10005491</t>
  </si>
  <si>
    <t>9787100054911</t>
  </si>
  <si>
    <t>孫若怡著</t>
  </si>
  <si>
    <t>10005574</t>
  </si>
  <si>
    <t>9787100055741</t>
  </si>
  <si>
    <t>汝企和</t>
  </si>
  <si>
    <t>10005594</t>
  </si>
  <si>
    <t>9787100055949</t>
  </si>
  <si>
    <t>雷海宗</t>
  </si>
  <si>
    <t>10005710</t>
  </si>
  <si>
    <t>9787100057103</t>
  </si>
  <si>
    <t>程麻</t>
  </si>
  <si>
    <t>10005712</t>
  </si>
  <si>
    <t>9787100057127</t>
  </si>
  <si>
    <t>張廷銀</t>
  </si>
  <si>
    <t>10005737</t>
  </si>
  <si>
    <t>9787100057370</t>
  </si>
  <si>
    <t>方銘</t>
  </si>
  <si>
    <t>10005770</t>
  </si>
  <si>
    <t>9787100057707</t>
  </si>
  <si>
    <t>《音韻學方法論討論集》編輯組 編</t>
  </si>
  <si>
    <t>10005793</t>
  </si>
  <si>
    <t>9787100057936</t>
  </si>
  <si>
    <t>寧欣</t>
  </si>
  <si>
    <t>10005830</t>
  </si>
  <si>
    <t>9787100058308</t>
  </si>
  <si>
    <t>10005832</t>
  </si>
  <si>
    <t>9787100058322</t>
  </si>
  <si>
    <t>方稱宇</t>
  </si>
  <si>
    <t>10005858</t>
  </si>
  <si>
    <t>9787100058582</t>
  </si>
  <si>
    <t>[意]史華羅 著</t>
  </si>
  <si>
    <t>10005861</t>
  </si>
  <si>
    <t>9787100058612</t>
  </si>
  <si>
    <t>樓含松</t>
  </si>
  <si>
    <t>10005883</t>
  </si>
  <si>
    <t>9787100058834</t>
  </si>
  <si>
    <t>李梅田</t>
  </si>
  <si>
    <t>10005907</t>
  </si>
  <si>
    <t>9787100059077</t>
  </si>
  <si>
    <t>何茲全</t>
  </si>
  <si>
    <t>10006048</t>
  </si>
  <si>
    <t>9787100060486</t>
  </si>
  <si>
    <t>袁峰</t>
  </si>
  <si>
    <t>10006082</t>
  </si>
  <si>
    <t>9787100060820</t>
  </si>
  <si>
    <t>喬永</t>
  </si>
  <si>
    <t>10006190</t>
  </si>
  <si>
    <t>9787100061902</t>
  </si>
  <si>
    <t>於殿利</t>
  </si>
  <si>
    <t>10006210</t>
  </si>
  <si>
    <t>9787100062107</t>
  </si>
  <si>
    <t>中國訓詁學會《中國訓詁學報》編輯部 編</t>
  </si>
  <si>
    <t>10006565</t>
  </si>
  <si>
    <t>9787100065658</t>
  </si>
  <si>
    <t>趙靜蓉</t>
  </si>
  <si>
    <t>10006619</t>
  </si>
  <si>
    <t>9787100066198</t>
  </si>
  <si>
    <t>史蒂文.羅傑</t>
  </si>
  <si>
    <t>10006624</t>
  </si>
  <si>
    <t>9787100066242</t>
  </si>
  <si>
    <t>孫月沐</t>
  </si>
  <si>
    <t>10006711</t>
  </si>
  <si>
    <t>9787100067119</t>
  </si>
  <si>
    <t>溫朔彬</t>
  </si>
  <si>
    <t>10006719</t>
  </si>
  <si>
    <t>9787100067195</t>
  </si>
  <si>
    <t>李輝</t>
  </si>
  <si>
    <t>10006778</t>
  </si>
  <si>
    <t>9787100067782</t>
  </si>
  <si>
    <t>張元濟著</t>
  </si>
  <si>
    <t>10006794</t>
  </si>
  <si>
    <t>9787100067942</t>
  </si>
  <si>
    <t>馮國超</t>
  </si>
  <si>
    <t>10006928</t>
  </si>
  <si>
    <t>9787100069281</t>
  </si>
  <si>
    <t>田東江著</t>
  </si>
  <si>
    <t>10007002</t>
  </si>
  <si>
    <t>9787100070027</t>
  </si>
  <si>
    <t>謝貴安</t>
  </si>
  <si>
    <t>10100476</t>
  </si>
  <si>
    <t>9787101004762</t>
  </si>
  <si>
    <t>王廷相著,王孝魚點校</t>
  </si>
  <si>
    <t>中華書局</t>
  </si>
  <si>
    <t>10102707</t>
  </si>
  <si>
    <t>9787101027075</t>
  </si>
  <si>
    <t>楊玉芬</t>
  </si>
  <si>
    <t>10103861</t>
  </si>
  <si>
    <t>7101038611</t>
  </si>
  <si>
    <t>傅璿琮</t>
  </si>
  <si>
    <t>10103968</t>
  </si>
  <si>
    <t>7101039685</t>
  </si>
  <si>
    <t>周燕芬</t>
  </si>
  <si>
    <t>10104266</t>
  </si>
  <si>
    <t>710104266X</t>
  </si>
  <si>
    <t>蔣寅</t>
  </si>
  <si>
    <t>10105201</t>
  </si>
  <si>
    <t>7101052010</t>
  </si>
  <si>
    <t>朱契</t>
  </si>
  <si>
    <t>10105540</t>
  </si>
  <si>
    <t>7101055400</t>
  </si>
  <si>
    <t>10105550</t>
  </si>
  <si>
    <t>7101055508</t>
  </si>
  <si>
    <t>湖南善後協會編纂</t>
  </si>
  <si>
    <t>10105554</t>
  </si>
  <si>
    <t>9787101055542</t>
  </si>
  <si>
    <t>花沙納</t>
  </si>
  <si>
    <t>10105614</t>
  </si>
  <si>
    <t>7101056148</t>
  </si>
  <si>
    <t>10105637</t>
  </si>
  <si>
    <t>9787101056372</t>
  </si>
  <si>
    <t>淩鬱之</t>
  </si>
  <si>
    <t>10105666</t>
  </si>
  <si>
    <t>7101056660</t>
  </si>
  <si>
    <t>金程宇</t>
  </si>
  <si>
    <t>10105715</t>
  </si>
  <si>
    <t>9787101057157</t>
  </si>
  <si>
    <t>加藤周</t>
  </si>
  <si>
    <t>10105750</t>
  </si>
  <si>
    <t>9787101057508</t>
  </si>
  <si>
    <t>馬駿著</t>
  </si>
  <si>
    <t>10105838</t>
  </si>
  <si>
    <t>9787101058383</t>
  </si>
  <si>
    <t>王宇</t>
  </si>
  <si>
    <t>10106237</t>
  </si>
  <si>
    <t>9787101062373</t>
  </si>
  <si>
    <t>王樹林著</t>
  </si>
  <si>
    <t>10106295</t>
  </si>
  <si>
    <t>9787101062953</t>
  </si>
  <si>
    <t>詹福瑞著</t>
  </si>
  <si>
    <t>10106304</t>
  </si>
  <si>
    <t>9787101063042</t>
  </si>
  <si>
    <t>木齋著</t>
  </si>
  <si>
    <t>10106316</t>
  </si>
  <si>
    <t>9787101063165</t>
  </si>
  <si>
    <t>陳美東著</t>
  </si>
  <si>
    <t>10106360</t>
  </si>
  <si>
    <t>9787101063608</t>
  </si>
  <si>
    <t>李傳軍、宣炳善、馬寶記撰</t>
  </si>
  <si>
    <t>10106403</t>
  </si>
  <si>
    <t>9787101064032</t>
  </si>
  <si>
    <t>趙敏俐編</t>
  </si>
  <si>
    <t>10106407</t>
  </si>
  <si>
    <t>9787101064070</t>
  </si>
  <si>
    <t>劉永連</t>
  </si>
  <si>
    <t>10106429</t>
  </si>
  <si>
    <t>9787101064285</t>
  </si>
  <si>
    <t>編委會</t>
  </si>
  <si>
    <t>10106465</t>
  </si>
  <si>
    <t>9787101064650</t>
  </si>
  <si>
    <t>薑斐德</t>
  </si>
  <si>
    <t>10106578</t>
  </si>
  <si>
    <t>9787101065787</t>
  </si>
  <si>
    <t>程章燦</t>
  </si>
  <si>
    <t>10106582</t>
  </si>
  <si>
    <t>9787101065824</t>
  </si>
  <si>
    <t>復旦大學文史研究院編</t>
  </si>
  <si>
    <t>10106619</t>
  </si>
  <si>
    <t>9787101066197</t>
  </si>
  <si>
    <t>苗懷明</t>
  </si>
  <si>
    <t>10106631</t>
  </si>
  <si>
    <t>9787101066319</t>
  </si>
  <si>
    <t>金程式</t>
  </si>
  <si>
    <t>10106748</t>
  </si>
  <si>
    <t>9787101067484</t>
  </si>
  <si>
    <t>胡玫</t>
  </si>
  <si>
    <t>10106800</t>
  </si>
  <si>
    <t>9787101068009</t>
  </si>
  <si>
    <t>楊金花</t>
  </si>
  <si>
    <t>10106839</t>
  </si>
  <si>
    <t>9787101068399</t>
  </si>
  <si>
    <t>編委</t>
  </si>
  <si>
    <t>10106872</t>
  </si>
  <si>
    <t>9787101068726</t>
  </si>
  <si>
    <t>榮真著</t>
  </si>
  <si>
    <t>10106873</t>
  </si>
  <si>
    <t>9787101068733</t>
  </si>
  <si>
    <t>張小峰著</t>
  </si>
  <si>
    <t>10106874</t>
  </si>
  <si>
    <t>9787101068740</t>
  </si>
  <si>
    <t>陳堅.王欽雙著</t>
  </si>
  <si>
    <t>10106878</t>
  </si>
  <si>
    <t>9787101068788</t>
  </si>
  <si>
    <t>周文玖著</t>
  </si>
  <si>
    <t>10106880</t>
  </si>
  <si>
    <t>9787101068801</t>
  </si>
  <si>
    <t>陳少銘著</t>
  </si>
  <si>
    <t>10106934</t>
  </si>
  <si>
    <t>9787101069341</t>
  </si>
  <si>
    <t>宋修玲</t>
  </si>
  <si>
    <t>10106954</t>
  </si>
  <si>
    <t>9787101069549</t>
  </si>
  <si>
    <t>曹書傑.楊棟著</t>
  </si>
  <si>
    <t>10106963</t>
  </si>
  <si>
    <t>9787101069631</t>
  </si>
  <si>
    <t>石濤.劉傑著</t>
  </si>
  <si>
    <t>10106964</t>
  </si>
  <si>
    <t>9787101069648</t>
  </si>
  <si>
    <t>陳龍</t>
  </si>
  <si>
    <t>10107003</t>
  </si>
  <si>
    <t>9787101070033</t>
  </si>
  <si>
    <t>戴仁柱</t>
  </si>
  <si>
    <t>10107026</t>
  </si>
  <si>
    <t>9787101070262</t>
  </si>
  <si>
    <t>高長山</t>
  </si>
  <si>
    <t>10107116</t>
  </si>
  <si>
    <t>9787101071160</t>
  </si>
  <si>
    <t>杜桂萍</t>
  </si>
  <si>
    <t>10107126</t>
  </si>
  <si>
    <t>9787101071269</t>
  </si>
  <si>
    <t>田曉菲</t>
  </si>
  <si>
    <t>10107167</t>
  </si>
  <si>
    <t>9787101071672</t>
  </si>
  <si>
    <t>荒見泰史</t>
  </si>
  <si>
    <t>10107257</t>
  </si>
  <si>
    <t>9787101072570</t>
  </si>
  <si>
    <t>六朝文學論集</t>
  </si>
  <si>
    <t>穆克宏</t>
  </si>
  <si>
    <t>10107450</t>
  </si>
  <si>
    <t>9787101074505</t>
  </si>
  <si>
    <t>劉婷婷</t>
  </si>
  <si>
    <t>10108220</t>
  </si>
  <si>
    <t>9787101082203</t>
  </si>
  <si>
    <t>李曉燕著</t>
  </si>
  <si>
    <t>10204747</t>
  </si>
  <si>
    <t>9787102047478</t>
  </si>
  <si>
    <t>潘嘉來主編</t>
  </si>
  <si>
    <t>人民美術</t>
  </si>
  <si>
    <t>10402209</t>
  </si>
  <si>
    <t>9787104022091</t>
  </si>
  <si>
    <t>猛子著</t>
  </si>
  <si>
    <t>中國戲劇</t>
  </si>
  <si>
    <t>10402544</t>
  </si>
  <si>
    <t>7104025448</t>
  </si>
  <si>
    <t>柏冬友</t>
  </si>
  <si>
    <t>10402802</t>
  </si>
  <si>
    <t>7104028021</t>
  </si>
  <si>
    <t>梅毅</t>
  </si>
  <si>
    <t>10403260</t>
  </si>
  <si>
    <t>9787104032601</t>
  </si>
  <si>
    <t>寧磊. 著</t>
  </si>
  <si>
    <t>10403268</t>
  </si>
  <si>
    <t>9787104032687</t>
  </si>
  <si>
    <t>米爾. 編繪</t>
  </si>
  <si>
    <t>10506781</t>
  </si>
  <si>
    <t>7105067810</t>
  </si>
  <si>
    <t>唐維</t>
  </si>
  <si>
    <t>民族</t>
  </si>
  <si>
    <t>10510450</t>
  </si>
  <si>
    <t>9787105104505</t>
  </si>
  <si>
    <t>李景隆等著</t>
  </si>
  <si>
    <t>10602547</t>
  </si>
  <si>
    <t>710602547X</t>
  </si>
  <si>
    <t>葉萍萍</t>
  </si>
  <si>
    <t>中國電影</t>
  </si>
  <si>
    <t>10602580</t>
  </si>
  <si>
    <t>7106025801</t>
  </si>
  <si>
    <t>段雲球</t>
  </si>
  <si>
    <t>10602777</t>
  </si>
  <si>
    <t>9787106027773</t>
  </si>
  <si>
    <t>雷元江</t>
  </si>
  <si>
    <t>10802151</t>
  </si>
  <si>
    <t>710802151X</t>
  </si>
  <si>
    <t>陳峻</t>
  </si>
  <si>
    <t>北京三聯</t>
  </si>
  <si>
    <t>10802558</t>
  </si>
  <si>
    <t>7108025582</t>
  </si>
  <si>
    <t>林鶴</t>
  </si>
  <si>
    <t>生活.讀書</t>
  </si>
  <si>
    <t>10802559</t>
  </si>
  <si>
    <t>7108025590</t>
  </si>
  <si>
    <t>李清志</t>
  </si>
  <si>
    <t>10802649</t>
  </si>
  <si>
    <t>9787108026491</t>
  </si>
  <si>
    <t>鄧廣銘</t>
  </si>
  <si>
    <t>10802877</t>
  </si>
  <si>
    <t>9787108028778</t>
  </si>
  <si>
    <t>吳曉東</t>
  </si>
  <si>
    <t>10802902</t>
  </si>
  <si>
    <t>9787108029027</t>
  </si>
  <si>
    <t>汪暉</t>
  </si>
  <si>
    <t>10802916</t>
  </si>
  <si>
    <t>9787108029164</t>
  </si>
  <si>
    <t>展望</t>
  </si>
  <si>
    <t>10802976</t>
  </si>
  <si>
    <t>9787108029768</t>
  </si>
  <si>
    <t>哈里森</t>
  </si>
  <si>
    <t>10803045</t>
  </si>
  <si>
    <t>9787108030450</t>
  </si>
  <si>
    <t>羅小韻</t>
  </si>
  <si>
    <t>10803062</t>
  </si>
  <si>
    <t>9787108030627</t>
  </si>
  <si>
    <t>夏曉虹</t>
  </si>
  <si>
    <t>10803138</t>
  </si>
  <si>
    <t>9787108031389</t>
  </si>
  <si>
    <t>唐克揚</t>
  </si>
  <si>
    <t>10803157</t>
  </si>
  <si>
    <t>9787108031570</t>
  </si>
  <si>
    <t>雷聞</t>
  </si>
  <si>
    <t>10803226</t>
  </si>
  <si>
    <t>9787108032263</t>
  </si>
  <si>
    <t>蘇力</t>
  </si>
  <si>
    <t>10803313</t>
  </si>
  <si>
    <t>9787108033130</t>
  </si>
  <si>
    <t>馮驥才</t>
  </si>
  <si>
    <t>10803330</t>
  </si>
  <si>
    <t>9787108033307</t>
  </si>
  <si>
    <t>張光直</t>
  </si>
  <si>
    <t>10803346</t>
  </si>
  <si>
    <t>9787108033468</t>
  </si>
  <si>
    <t>傅漢思</t>
  </si>
  <si>
    <t>10803354</t>
  </si>
  <si>
    <t>9787108033543</t>
  </si>
  <si>
    <t>呂正惠</t>
  </si>
  <si>
    <t>10803365</t>
  </si>
  <si>
    <t>9787108033659</t>
  </si>
  <si>
    <t>紀大椿</t>
  </si>
  <si>
    <t>10803608</t>
  </si>
  <si>
    <t>祝勇</t>
  </si>
  <si>
    <t>三聯</t>
  </si>
  <si>
    <t>11007203</t>
  </si>
  <si>
    <t>9787110072035</t>
  </si>
  <si>
    <t>王金泰</t>
  </si>
  <si>
    <t>11007205</t>
  </si>
  <si>
    <t>9787110072059</t>
  </si>
  <si>
    <t>王金泰編繪</t>
  </si>
  <si>
    <t>科學普及</t>
  </si>
  <si>
    <t>11131163</t>
  </si>
  <si>
    <t>9787111311638</t>
  </si>
  <si>
    <t>薩特勒</t>
  </si>
  <si>
    <t>機械工業</t>
  </si>
  <si>
    <t>11206126</t>
  </si>
  <si>
    <t>7112061261</t>
  </si>
  <si>
    <t>建築工業</t>
  </si>
  <si>
    <t>11207122</t>
  </si>
  <si>
    <t>7112071224</t>
  </si>
  <si>
    <t>11207529</t>
  </si>
  <si>
    <t>7112075297</t>
  </si>
  <si>
    <t>魏來</t>
  </si>
  <si>
    <t>中國建築</t>
  </si>
  <si>
    <t>11209245</t>
  </si>
  <si>
    <t>7112092450</t>
  </si>
  <si>
    <t>閻東</t>
  </si>
  <si>
    <t>11209263</t>
  </si>
  <si>
    <t>9787112092635</t>
  </si>
  <si>
    <t>周紅藝</t>
  </si>
  <si>
    <t>11211569</t>
  </si>
  <si>
    <t>9787112115693</t>
  </si>
  <si>
    <t>張路峰</t>
  </si>
  <si>
    <t>建築書店</t>
  </si>
  <si>
    <t>11309049</t>
  </si>
  <si>
    <t>9787113090494</t>
  </si>
  <si>
    <t>葉曙光</t>
  </si>
  <si>
    <t>中國鐵道</t>
  </si>
  <si>
    <t>11516181</t>
  </si>
  <si>
    <t>711516181X</t>
  </si>
  <si>
    <t>劉佳維</t>
  </si>
  <si>
    <t>人民電郵</t>
  </si>
  <si>
    <t>11522969</t>
  </si>
  <si>
    <t>9787115229694</t>
  </si>
  <si>
    <t>墨刻編輯部</t>
  </si>
  <si>
    <t>11523806</t>
  </si>
  <si>
    <t>9787115238061</t>
  </si>
  <si>
    <t>劉志海</t>
  </si>
  <si>
    <t>11703792</t>
  </si>
  <si>
    <t>9787117037921</t>
  </si>
  <si>
    <t>彭勝權</t>
  </si>
  <si>
    <t>人民衛生</t>
  </si>
  <si>
    <t>11710162</t>
  </si>
  <si>
    <t>9787117101622</t>
  </si>
  <si>
    <t>曹洪欣</t>
  </si>
  <si>
    <t>11710163</t>
  </si>
  <si>
    <t>9787117101639</t>
  </si>
  <si>
    <t>11710164</t>
  </si>
  <si>
    <t>9787117101646</t>
  </si>
  <si>
    <t>11710173</t>
  </si>
  <si>
    <t>9787117101738</t>
  </si>
  <si>
    <t>11710174</t>
  </si>
  <si>
    <t>9787117101745</t>
  </si>
  <si>
    <t>11710175</t>
  </si>
  <si>
    <t>9787117101752</t>
  </si>
  <si>
    <t>11710184</t>
  </si>
  <si>
    <t>9787117101844</t>
  </si>
  <si>
    <t>11710185</t>
  </si>
  <si>
    <t>9787117101851</t>
  </si>
  <si>
    <t>11710186</t>
  </si>
  <si>
    <t>9787117101868</t>
  </si>
  <si>
    <t>11903155</t>
  </si>
  <si>
    <t>7119031554</t>
  </si>
  <si>
    <t>李知宴</t>
  </si>
  <si>
    <t>外文</t>
  </si>
  <si>
    <t>11906400</t>
  </si>
  <si>
    <t>9787119064000</t>
  </si>
  <si>
    <t>張悅. 編著</t>
  </si>
  <si>
    <t>12111439</t>
  </si>
  <si>
    <t>9787121114397</t>
  </si>
  <si>
    <t>(韓) 鄭彩恩. 著</t>
  </si>
  <si>
    <t>電子工業</t>
  </si>
  <si>
    <t>12206863</t>
  </si>
  <si>
    <t>9787122068637</t>
  </si>
  <si>
    <t>王文華</t>
  </si>
  <si>
    <t>化學工業</t>
  </si>
  <si>
    <t>20005368</t>
  </si>
  <si>
    <t>7200053686</t>
  </si>
  <si>
    <t>論語</t>
  </si>
  <si>
    <t>北京</t>
  </si>
  <si>
    <t>20008695</t>
  </si>
  <si>
    <t>李大釗</t>
  </si>
  <si>
    <t>20102465</t>
  </si>
  <si>
    <t>7201024655</t>
  </si>
  <si>
    <t>溥儀</t>
  </si>
  <si>
    <t>天津人民</t>
  </si>
  <si>
    <t>20104675</t>
  </si>
  <si>
    <t>7201046756</t>
  </si>
  <si>
    <t>李立新</t>
  </si>
  <si>
    <t>20105566</t>
  </si>
  <si>
    <t>9787201055664</t>
  </si>
  <si>
    <t>中國文人的另類面孔</t>
  </si>
  <si>
    <t>李國文</t>
  </si>
  <si>
    <t>20105782</t>
  </si>
  <si>
    <t>9787201057828</t>
  </si>
  <si>
    <t>張金明</t>
  </si>
  <si>
    <t>20105827</t>
  </si>
  <si>
    <t>9787201058276</t>
  </si>
  <si>
    <t>魯迅</t>
  </si>
  <si>
    <t>20105909</t>
  </si>
  <si>
    <t>9787201059099</t>
  </si>
  <si>
    <t>朵漁</t>
  </si>
  <si>
    <t>20105914</t>
  </si>
  <si>
    <t>9787201059143</t>
  </si>
  <si>
    <t>鈞雪人</t>
  </si>
  <si>
    <t>20106199</t>
  </si>
  <si>
    <t>9787201061993</t>
  </si>
  <si>
    <t>吳敬華</t>
  </si>
  <si>
    <t>20106264</t>
  </si>
  <si>
    <t>9787201062648</t>
  </si>
  <si>
    <t>聶小晴</t>
  </si>
  <si>
    <t>20106342</t>
  </si>
  <si>
    <t>9787201063423</t>
  </si>
  <si>
    <t>許地山</t>
  </si>
  <si>
    <t>20106362</t>
  </si>
  <si>
    <t>9787201063621</t>
  </si>
  <si>
    <t>由國慶</t>
  </si>
  <si>
    <t>20305265A</t>
  </si>
  <si>
    <t>山西人民</t>
  </si>
  <si>
    <t>20305266A</t>
  </si>
  <si>
    <t>20305266C</t>
  </si>
  <si>
    <t>20306354</t>
  </si>
  <si>
    <t>9787203063544</t>
  </si>
  <si>
    <t>（清）褚人獲著</t>
  </si>
  <si>
    <t>20306604</t>
  </si>
  <si>
    <t>9787203066040</t>
  </si>
  <si>
    <t>劉剛</t>
  </si>
  <si>
    <t>20409824</t>
  </si>
  <si>
    <t>9787204098248</t>
  </si>
  <si>
    <t>柴世梅，安心著</t>
  </si>
  <si>
    <t>內蒙人民</t>
  </si>
  <si>
    <t>20506142</t>
  </si>
  <si>
    <t>9787205061425</t>
  </si>
  <si>
    <t>鳳凰衛視編著</t>
  </si>
  <si>
    <t>遼寧人民</t>
  </si>
  <si>
    <t>20506695</t>
  </si>
  <si>
    <t>9787205066956</t>
  </si>
  <si>
    <t>本社</t>
  </si>
  <si>
    <t>20506704</t>
  </si>
  <si>
    <t>9787205067045</t>
  </si>
  <si>
    <t>郭大順</t>
  </si>
  <si>
    <t>20506756</t>
  </si>
  <si>
    <t>9787205067564</t>
  </si>
  <si>
    <t>墨香滿樓. 著</t>
  </si>
  <si>
    <t>20506772</t>
  </si>
  <si>
    <t>9787205067724</t>
  </si>
  <si>
    <t>王雅文. 汪海燕. 編著</t>
  </si>
  <si>
    <t>20550682</t>
  </si>
  <si>
    <t>9787540205508</t>
  </si>
  <si>
    <t>韓非子</t>
  </si>
  <si>
    <t>北京燕山</t>
  </si>
  <si>
    <t>20606814</t>
  </si>
  <si>
    <t>9787206068140</t>
  </si>
  <si>
    <t>王彥輝. 主編</t>
  </si>
  <si>
    <t>吉林人民</t>
  </si>
  <si>
    <t>20706490</t>
  </si>
  <si>
    <t>720706490X</t>
  </si>
  <si>
    <t>馮驥才、白庚勝等編著</t>
  </si>
  <si>
    <t>黑人民</t>
  </si>
  <si>
    <t>20706574</t>
  </si>
  <si>
    <t>7207065744</t>
  </si>
  <si>
    <t>馮驥才等編著</t>
  </si>
  <si>
    <t>20806150</t>
  </si>
  <si>
    <t>7208061505</t>
  </si>
  <si>
    <t>鄭振鐸著</t>
  </si>
  <si>
    <t>上海人民</t>
  </si>
  <si>
    <t>20806711</t>
  </si>
  <si>
    <t>7208067112</t>
  </si>
  <si>
    <t>胡思華</t>
  </si>
  <si>
    <t>20806715</t>
  </si>
  <si>
    <t>9787208067158</t>
  </si>
  <si>
    <t>葉辛</t>
  </si>
  <si>
    <t>20807380</t>
  </si>
  <si>
    <t>9787208073807</t>
  </si>
  <si>
    <t>邱丕相</t>
  </si>
  <si>
    <t>20808165</t>
  </si>
  <si>
    <t>9787208081659</t>
  </si>
  <si>
    <t>黎東方</t>
  </si>
  <si>
    <t>世紀文景</t>
  </si>
  <si>
    <t>20808170</t>
  </si>
  <si>
    <t>9787208081703</t>
  </si>
  <si>
    <t>來新夏</t>
  </si>
  <si>
    <t>20808185</t>
  </si>
  <si>
    <t>9787208081857</t>
  </si>
  <si>
    <t>鄧軍</t>
  </si>
  <si>
    <t>20808270</t>
  </si>
  <si>
    <t>9787208082700</t>
  </si>
  <si>
    <t>李康化</t>
  </si>
  <si>
    <t>20808310</t>
  </si>
  <si>
    <t>9787208083103</t>
  </si>
  <si>
    <t>張歷歷</t>
  </si>
  <si>
    <t>20808595</t>
  </si>
  <si>
    <t>9787208085954</t>
  </si>
  <si>
    <t>波普爾</t>
  </si>
  <si>
    <t>20808648</t>
  </si>
  <si>
    <t>9787208086487</t>
  </si>
  <si>
    <t>張其凡著</t>
  </si>
  <si>
    <t>20809196</t>
  </si>
  <si>
    <t>9787208091962</t>
  </si>
  <si>
    <t>仲富蘭. 等著</t>
  </si>
  <si>
    <t>20809408</t>
  </si>
  <si>
    <t>9787208094086</t>
  </si>
  <si>
    <t>吳琛瑜. 著</t>
  </si>
  <si>
    <t>20902148</t>
  </si>
  <si>
    <t>7209021485</t>
  </si>
  <si>
    <t>吳曉奎</t>
  </si>
  <si>
    <t>山東人民</t>
  </si>
  <si>
    <t>20903836</t>
  </si>
  <si>
    <t>7209038361</t>
  </si>
  <si>
    <t>張鳳蓮</t>
  </si>
  <si>
    <t>20904078</t>
  </si>
  <si>
    <t>7209040781</t>
  </si>
  <si>
    <t>20904171</t>
  </si>
  <si>
    <t>7209041710</t>
  </si>
  <si>
    <t>張士寶</t>
  </si>
  <si>
    <t>20904191</t>
  </si>
  <si>
    <t>9787209041911</t>
  </si>
  <si>
    <t>張立升</t>
  </si>
  <si>
    <t>20904220</t>
  </si>
  <si>
    <t>7209042202</t>
  </si>
  <si>
    <t>20904230</t>
  </si>
  <si>
    <t>9787209042307</t>
  </si>
  <si>
    <t>20904256</t>
  </si>
  <si>
    <t>7209042563</t>
  </si>
  <si>
    <t>20904467</t>
  </si>
  <si>
    <t>9787209044677</t>
  </si>
  <si>
    <t>耿波</t>
  </si>
  <si>
    <t>20904642</t>
  </si>
  <si>
    <t>9787209046428</t>
  </si>
  <si>
    <t>斯雄</t>
  </si>
  <si>
    <t>20904747</t>
  </si>
  <si>
    <t>9787209047470</t>
  </si>
  <si>
    <t>宋大琦</t>
  </si>
  <si>
    <t>20904937</t>
  </si>
  <si>
    <t>9787209049375</t>
  </si>
  <si>
    <t>姚淦銘</t>
  </si>
  <si>
    <t>20905078</t>
  </si>
  <si>
    <t>9787209050784</t>
  </si>
  <si>
    <t>金明善</t>
  </si>
  <si>
    <t>20905080</t>
  </si>
  <si>
    <t>9787209050807</t>
  </si>
  <si>
    <t>20905107</t>
  </si>
  <si>
    <t>9787209051071</t>
  </si>
  <si>
    <t>21104983</t>
  </si>
  <si>
    <t>7211049839</t>
  </si>
  <si>
    <t>張濤</t>
  </si>
  <si>
    <t>福建人民</t>
  </si>
  <si>
    <t>21203239</t>
  </si>
  <si>
    <t>9787212032395</t>
  </si>
  <si>
    <t>朱建軍</t>
  </si>
  <si>
    <t>安徽人民</t>
  </si>
  <si>
    <t>21203605</t>
  </si>
  <si>
    <t>9787212037062</t>
  </si>
  <si>
    <t>唐玉霞</t>
  </si>
  <si>
    <t>21302466</t>
  </si>
  <si>
    <t>7213024663</t>
  </si>
  <si>
    <t>浙江人民</t>
  </si>
  <si>
    <t>21302555</t>
  </si>
  <si>
    <t>7213025554</t>
  </si>
  <si>
    <t>21302809</t>
  </si>
  <si>
    <t>721302809X</t>
  </si>
  <si>
    <t>21303016</t>
  </si>
  <si>
    <t>7213030167</t>
  </si>
  <si>
    <t>21303248</t>
  </si>
  <si>
    <t>7213032488</t>
  </si>
  <si>
    <t>萬斌</t>
  </si>
  <si>
    <t>21303521</t>
  </si>
  <si>
    <t>9787213035210</t>
  </si>
  <si>
    <t>孫侃</t>
  </si>
  <si>
    <t>21303524</t>
  </si>
  <si>
    <t>9787213035241</t>
  </si>
  <si>
    <t>王麗梅</t>
  </si>
  <si>
    <t>21303829</t>
  </si>
  <si>
    <t>9787213038297</t>
  </si>
  <si>
    <t>黃不敏</t>
  </si>
  <si>
    <t>21304123</t>
  </si>
  <si>
    <t>9787213041235</t>
  </si>
  <si>
    <t>王華鋒</t>
  </si>
  <si>
    <t>21304124</t>
  </si>
  <si>
    <t>9787213041242</t>
  </si>
  <si>
    <t>黃樸民</t>
  </si>
  <si>
    <t>21304125</t>
  </si>
  <si>
    <t>9787213041259</t>
  </si>
  <si>
    <t>白效詠</t>
  </si>
  <si>
    <t>21402823</t>
  </si>
  <si>
    <t>7214028239</t>
  </si>
  <si>
    <t>魏特琳</t>
  </si>
  <si>
    <t>江蘇人民</t>
  </si>
  <si>
    <t>21403024</t>
  </si>
  <si>
    <t>7214030241</t>
  </si>
  <si>
    <t>21403985</t>
  </si>
  <si>
    <t>7214039850</t>
  </si>
  <si>
    <t>張生</t>
  </si>
  <si>
    <t>21403986</t>
  </si>
  <si>
    <t>7214039869</t>
  </si>
  <si>
    <t>王衛星</t>
  </si>
  <si>
    <t>21404002</t>
  </si>
  <si>
    <t>7214040026</t>
  </si>
  <si>
    <t>孫宅巍</t>
  </si>
  <si>
    <t>21404005</t>
  </si>
  <si>
    <t>7214040050</t>
  </si>
  <si>
    <t>張連紅</t>
  </si>
  <si>
    <t>21404022</t>
  </si>
  <si>
    <t>7214040220</t>
  </si>
  <si>
    <t>經盛鴻</t>
  </si>
  <si>
    <t>21404025</t>
  </si>
  <si>
    <t>7214040255</t>
  </si>
  <si>
    <t>楊夏鳴</t>
  </si>
  <si>
    <t>21404026</t>
  </si>
  <si>
    <t>7214040263</t>
  </si>
  <si>
    <t>章開沅</t>
  </si>
  <si>
    <t>21404226</t>
  </si>
  <si>
    <t>7214042266</t>
  </si>
  <si>
    <t>21404228</t>
  </si>
  <si>
    <t>7214042282</t>
  </si>
  <si>
    <t>21404229</t>
  </si>
  <si>
    <t>7214042290</t>
  </si>
  <si>
    <t>21404233</t>
  </si>
  <si>
    <t>7214042339</t>
  </si>
  <si>
    <t>胡菊蓉</t>
  </si>
  <si>
    <t>21404240</t>
  </si>
  <si>
    <t>7214042401</t>
  </si>
  <si>
    <t>薑良芹</t>
  </si>
  <si>
    <t>21404242</t>
  </si>
  <si>
    <t>7214042428</t>
  </si>
  <si>
    <t>21404244</t>
  </si>
  <si>
    <t>7214042444</t>
  </si>
  <si>
    <t>郭必強</t>
  </si>
  <si>
    <t>21404245</t>
  </si>
  <si>
    <t>7214042452</t>
  </si>
  <si>
    <t>張建寧</t>
  </si>
  <si>
    <t>21405256</t>
  </si>
  <si>
    <t>9787214052568</t>
  </si>
  <si>
    <t>施旭升著</t>
  </si>
  <si>
    <t>21405693</t>
  </si>
  <si>
    <t>9787214056931</t>
  </si>
  <si>
    <t>鄒徐文著</t>
  </si>
  <si>
    <t>21405753</t>
  </si>
  <si>
    <t>9787214057532</t>
  </si>
  <si>
    <t>張抒；倪建林</t>
  </si>
  <si>
    <t>21405760</t>
  </si>
  <si>
    <t>9787214057600</t>
  </si>
  <si>
    <t>蘇瓊</t>
  </si>
  <si>
    <t>21405761</t>
  </si>
  <si>
    <t>9787214057617</t>
  </si>
  <si>
    <t>李靈</t>
  </si>
  <si>
    <t>21405763</t>
  </si>
  <si>
    <t>9787214057631</t>
  </si>
  <si>
    <t>易存國</t>
  </si>
  <si>
    <t>21406068</t>
  </si>
  <si>
    <t>9787214060686</t>
  </si>
  <si>
    <t>（美）蘇源熙著</t>
  </si>
  <si>
    <t>21505819</t>
  </si>
  <si>
    <t>7215058190</t>
  </si>
  <si>
    <t>黨春直</t>
  </si>
  <si>
    <t>河南人民</t>
  </si>
  <si>
    <t>21505904</t>
  </si>
  <si>
    <t>7215059049</t>
  </si>
  <si>
    <t>汝信</t>
  </si>
  <si>
    <t>21606022</t>
  </si>
  <si>
    <t>9787216060226</t>
  </si>
  <si>
    <t>阮忠</t>
  </si>
  <si>
    <t>湖北人民</t>
  </si>
  <si>
    <t>21606826</t>
  </si>
  <si>
    <t>9787216068260</t>
  </si>
  <si>
    <t>張文竹著</t>
  </si>
  <si>
    <t>21804105</t>
  </si>
  <si>
    <t>7218041051</t>
  </si>
  <si>
    <t>李行遠</t>
  </si>
  <si>
    <t>廣東人民</t>
  </si>
  <si>
    <t>21804274</t>
  </si>
  <si>
    <t>7218042740</t>
  </si>
  <si>
    <t>康燕</t>
  </si>
  <si>
    <t>雲南大學</t>
  </si>
  <si>
    <t>21805078</t>
  </si>
  <si>
    <t>7218050786</t>
  </si>
  <si>
    <t>黑馬</t>
  </si>
  <si>
    <t>21805080</t>
  </si>
  <si>
    <t>7218050808</t>
  </si>
  <si>
    <t>陳勇新</t>
  </si>
  <si>
    <t>21805102</t>
  </si>
  <si>
    <t>7218051022</t>
  </si>
  <si>
    <t>葉豔彬</t>
  </si>
  <si>
    <t>21805431</t>
  </si>
  <si>
    <t>7218054315</t>
  </si>
  <si>
    <t>陳訓先</t>
  </si>
  <si>
    <t>21805433</t>
  </si>
  <si>
    <t>7218054331</t>
  </si>
  <si>
    <t>余石</t>
  </si>
  <si>
    <t>21805442</t>
  </si>
  <si>
    <t>9787218054421</t>
  </si>
  <si>
    <t>王遠明著</t>
  </si>
  <si>
    <t>21805482</t>
  </si>
  <si>
    <t>721805482X</t>
  </si>
  <si>
    <t>李穗梅</t>
  </si>
  <si>
    <t>21805736</t>
  </si>
  <si>
    <t>9787218057361</t>
  </si>
  <si>
    <t>沈揚</t>
  </si>
  <si>
    <t>21806083</t>
  </si>
  <si>
    <t>9787218060835</t>
  </si>
  <si>
    <t>閔定慶主編</t>
  </si>
  <si>
    <t>21806197</t>
  </si>
  <si>
    <t>9787218061979</t>
  </si>
  <si>
    <t>王彬彬</t>
  </si>
  <si>
    <t>21806393</t>
  </si>
  <si>
    <t>9787218063935</t>
  </si>
  <si>
    <t>饒凡子</t>
  </si>
  <si>
    <t>21806411</t>
  </si>
  <si>
    <t>9787218064116</t>
  </si>
  <si>
    <t>王飛躍</t>
  </si>
  <si>
    <t>21806572</t>
  </si>
  <si>
    <t>9787218065724</t>
  </si>
  <si>
    <t>王汀</t>
  </si>
  <si>
    <t>21806703</t>
  </si>
  <si>
    <t>9787218067032</t>
  </si>
  <si>
    <t>姚玳玫. 著</t>
  </si>
  <si>
    <t>21806828</t>
  </si>
  <si>
    <t>9787218068282</t>
  </si>
  <si>
    <t>周思源. 著</t>
  </si>
  <si>
    <t>21906507</t>
  </si>
  <si>
    <t>9787219065075</t>
  </si>
  <si>
    <t>王春永</t>
  </si>
  <si>
    <t>廣西人民</t>
  </si>
  <si>
    <t>21906582</t>
  </si>
  <si>
    <t>9787219065822</t>
  </si>
  <si>
    <t>劉慧</t>
  </si>
  <si>
    <t>22007010</t>
  </si>
  <si>
    <t>7220070101</t>
  </si>
  <si>
    <t>慶學先</t>
  </si>
  <si>
    <t>四川人民</t>
  </si>
  <si>
    <t>22007382</t>
  </si>
  <si>
    <t>9787220073823</t>
  </si>
  <si>
    <t>杜建華</t>
  </si>
  <si>
    <t>22007826</t>
  </si>
  <si>
    <t>9787220078262</t>
  </si>
  <si>
    <t>余雲華</t>
  </si>
  <si>
    <t>22106972</t>
  </si>
  <si>
    <t>9787221069726</t>
  </si>
  <si>
    <t>柳斌傑</t>
  </si>
  <si>
    <t>貴州人民</t>
  </si>
  <si>
    <t>22106973</t>
  </si>
  <si>
    <t>9787221069733</t>
  </si>
  <si>
    <t>22106975</t>
  </si>
  <si>
    <t>9787221069757</t>
  </si>
  <si>
    <t>22106979</t>
  </si>
  <si>
    <t>9787221069795</t>
  </si>
  <si>
    <t>22106982</t>
  </si>
  <si>
    <t>9787221069825</t>
  </si>
  <si>
    <t>22106986</t>
  </si>
  <si>
    <t>9787221069863</t>
  </si>
  <si>
    <t>22108198</t>
  </si>
  <si>
    <t>9787221081988</t>
  </si>
  <si>
    <t>酈道元著</t>
  </si>
  <si>
    <t>22108368</t>
  </si>
  <si>
    <t>9787221083682</t>
  </si>
  <si>
    <t>荀子</t>
  </si>
  <si>
    <t>22108377</t>
  </si>
  <si>
    <t>9787221083777</t>
  </si>
  <si>
    <t>呂友仁</t>
  </si>
  <si>
    <t>22108499</t>
  </si>
  <si>
    <t>9787221084996</t>
  </si>
  <si>
    <t>高宏存</t>
  </si>
  <si>
    <t>22407844</t>
  </si>
  <si>
    <t>9787224078442</t>
  </si>
  <si>
    <t>高中華</t>
  </si>
  <si>
    <t>陝西人民</t>
  </si>
  <si>
    <t>22408429</t>
  </si>
  <si>
    <t>9787224084290</t>
  </si>
  <si>
    <t>鄧慶平</t>
  </si>
  <si>
    <t>22408430</t>
  </si>
  <si>
    <t>9787224084306</t>
  </si>
  <si>
    <t>賈麗英</t>
  </si>
  <si>
    <t>22408555</t>
  </si>
  <si>
    <t>9787224085556</t>
  </si>
  <si>
    <t>王京平著</t>
  </si>
  <si>
    <t>22408562</t>
  </si>
  <si>
    <t>9787224085624</t>
  </si>
  <si>
    <t>田靜著</t>
  </si>
  <si>
    <t>22408563</t>
  </si>
  <si>
    <t>9787224085631</t>
  </si>
  <si>
    <t>宋超著</t>
  </si>
  <si>
    <t>22408648</t>
  </si>
  <si>
    <t>9787224086485</t>
  </si>
  <si>
    <t>吳蔚</t>
  </si>
  <si>
    <t>22408672</t>
  </si>
  <si>
    <t>9787224086720</t>
  </si>
  <si>
    <t>高翔等著</t>
  </si>
  <si>
    <t>22408884</t>
  </si>
  <si>
    <t>9787224088847</t>
  </si>
  <si>
    <t>鞠佳</t>
  </si>
  <si>
    <t>22408986</t>
  </si>
  <si>
    <t>9787224089868</t>
  </si>
  <si>
    <t>何鵬著</t>
  </si>
  <si>
    <t>22408988</t>
  </si>
  <si>
    <t>9787224089882</t>
  </si>
  <si>
    <t>朱鴻著</t>
  </si>
  <si>
    <t>22409097</t>
  </si>
  <si>
    <t>9787224091977</t>
  </si>
  <si>
    <t>陳君</t>
  </si>
  <si>
    <t>22409122</t>
  </si>
  <si>
    <t>9787224091229</t>
  </si>
  <si>
    <t>陳明遠</t>
  </si>
  <si>
    <t>22409205</t>
  </si>
  <si>
    <t>9787224092059</t>
  </si>
  <si>
    <t>閆謙君. 編著</t>
  </si>
  <si>
    <t>22409208</t>
  </si>
  <si>
    <t>9787224092080</t>
  </si>
  <si>
    <t>閆謙君</t>
  </si>
  <si>
    <t>22409234</t>
  </si>
  <si>
    <t>9787224092349</t>
  </si>
  <si>
    <t>柳隱溪</t>
  </si>
  <si>
    <t>22409235</t>
  </si>
  <si>
    <t>9787224092356</t>
  </si>
  <si>
    <t>司馬路. 著</t>
  </si>
  <si>
    <t>22603553</t>
  </si>
  <si>
    <t>9787226035535</t>
  </si>
  <si>
    <t>李民發</t>
  </si>
  <si>
    <t>甘肅人民</t>
  </si>
  <si>
    <t>22702525</t>
  </si>
  <si>
    <t>722702525X</t>
  </si>
  <si>
    <t>張夫也</t>
  </si>
  <si>
    <t>寧夏人民</t>
  </si>
  <si>
    <t>22702526</t>
  </si>
  <si>
    <t>7227025268</t>
  </si>
  <si>
    <t>張夫也著</t>
  </si>
  <si>
    <t>22703250</t>
  </si>
  <si>
    <t>7227032507</t>
  </si>
  <si>
    <t>劉順利編著</t>
  </si>
  <si>
    <t>22703748</t>
  </si>
  <si>
    <t>9787227037484</t>
  </si>
  <si>
    <t>22703928</t>
  </si>
  <si>
    <t>9787227039280</t>
  </si>
  <si>
    <t>劉大鈞</t>
  </si>
  <si>
    <t>22812344</t>
  </si>
  <si>
    <t>9787228123445</t>
  </si>
  <si>
    <t>未建檔</t>
  </si>
  <si>
    <t>新疆青少年</t>
  </si>
  <si>
    <t>22812736</t>
  </si>
  <si>
    <t>9787228127368</t>
  </si>
  <si>
    <t>李強</t>
  </si>
  <si>
    <t>新疆人民</t>
  </si>
  <si>
    <t>22812777</t>
  </si>
  <si>
    <t>9787228127771</t>
  </si>
  <si>
    <t>賀靈</t>
  </si>
  <si>
    <t>22812778</t>
  </si>
  <si>
    <t>9787228127788</t>
  </si>
  <si>
    <t>田衛疆</t>
  </si>
  <si>
    <t>22812785</t>
  </si>
  <si>
    <t>9787228127856</t>
  </si>
  <si>
    <t>李競成</t>
  </si>
  <si>
    <t>22812787</t>
  </si>
  <si>
    <t>9787228127870</t>
  </si>
  <si>
    <t>韓康信</t>
  </si>
  <si>
    <t>22812789</t>
  </si>
  <si>
    <t>9787228127894</t>
  </si>
  <si>
    <t>陸暉</t>
  </si>
  <si>
    <t>22812839</t>
  </si>
  <si>
    <t>9787228128396</t>
  </si>
  <si>
    <t>金秋</t>
  </si>
  <si>
    <t>22813235</t>
  </si>
  <si>
    <t>9787228132355</t>
  </si>
  <si>
    <t>22813839</t>
  </si>
  <si>
    <t>9787228138395</t>
  </si>
  <si>
    <t>錫伯族民間傳錄清代滿文古典譯注輯存(上下)</t>
  </si>
  <si>
    <t>22814069</t>
  </si>
  <si>
    <t>9787228140695</t>
  </si>
  <si>
    <t>22814094</t>
  </si>
  <si>
    <t>9787228140947</t>
  </si>
  <si>
    <t>袁祖亮.袁延勝.朱和平</t>
  </si>
  <si>
    <t>22814096</t>
  </si>
  <si>
    <t>9787228140961</t>
  </si>
  <si>
    <t>22814097</t>
  </si>
  <si>
    <t>9787228140978</t>
  </si>
  <si>
    <t>蓋山林</t>
  </si>
  <si>
    <t>22814098</t>
  </si>
  <si>
    <t>9787228140985</t>
  </si>
  <si>
    <t>22814099</t>
  </si>
  <si>
    <t>9787228140992</t>
  </si>
  <si>
    <t>22814102</t>
  </si>
  <si>
    <t>9787228141029</t>
  </si>
  <si>
    <t>22814103</t>
  </si>
  <si>
    <t>9787228141036</t>
  </si>
  <si>
    <t>22814107</t>
  </si>
  <si>
    <t>9787228141074</t>
  </si>
  <si>
    <t>王博.祁小山</t>
  </si>
  <si>
    <t>22814110</t>
  </si>
  <si>
    <t>9787228141104</t>
  </si>
  <si>
    <t>趙予征</t>
  </si>
  <si>
    <t>22814121</t>
  </si>
  <si>
    <t>9787228141210</t>
  </si>
  <si>
    <t>沈福偉</t>
  </si>
  <si>
    <t>22814162</t>
  </si>
  <si>
    <t>9787228141623</t>
  </si>
  <si>
    <t>22814163</t>
  </si>
  <si>
    <t>9787228141630</t>
  </si>
  <si>
    <t>22814164</t>
  </si>
  <si>
    <t>9787228141647</t>
  </si>
  <si>
    <t>22814165</t>
  </si>
  <si>
    <t>9787228141654</t>
  </si>
  <si>
    <t>22814166</t>
  </si>
  <si>
    <t>9787228141661</t>
  </si>
  <si>
    <t>22814167</t>
  </si>
  <si>
    <t>9787228141678</t>
  </si>
  <si>
    <t>22814217</t>
  </si>
  <si>
    <t>9787228142170</t>
  </si>
  <si>
    <t>22814218</t>
  </si>
  <si>
    <t>9787228142187</t>
  </si>
  <si>
    <t>22814334</t>
  </si>
  <si>
    <t>9787228143344</t>
  </si>
  <si>
    <t>22814498</t>
  </si>
  <si>
    <t>9787228144983</t>
  </si>
  <si>
    <t>22814499</t>
  </si>
  <si>
    <t>9787228144990</t>
  </si>
  <si>
    <t>22814937</t>
  </si>
  <si>
    <t>9787228149377</t>
  </si>
  <si>
    <t>錫伯族瀕危朱倫文化遺產(四)(上下)</t>
  </si>
  <si>
    <t>22814938</t>
  </si>
  <si>
    <t>9787228149384</t>
  </si>
  <si>
    <t>錫伯族瀕危朱倫文化遺產(三)</t>
  </si>
  <si>
    <t>22814939</t>
  </si>
  <si>
    <t>9787228149391</t>
  </si>
  <si>
    <t>錫伯族瀕危朱倫文化遺產(二)</t>
  </si>
  <si>
    <t>22814940</t>
  </si>
  <si>
    <t>9787228149407</t>
  </si>
  <si>
    <t>錫伯族瀕危朱倫文化遺產(一)</t>
  </si>
  <si>
    <t>22815011</t>
  </si>
  <si>
    <t>9787228150113</t>
  </si>
  <si>
    <t>22815143</t>
  </si>
  <si>
    <t>9787228151431</t>
  </si>
  <si>
    <t>22815145</t>
  </si>
  <si>
    <t>9787228151455</t>
  </si>
  <si>
    <t>22815337</t>
  </si>
  <si>
    <t>9787228153374</t>
  </si>
  <si>
    <t>22870793</t>
  </si>
  <si>
    <t>9787228707935</t>
  </si>
  <si>
    <t>22901423</t>
  </si>
  <si>
    <t>9787229014230</t>
  </si>
  <si>
    <t>張正隆</t>
  </si>
  <si>
    <t>重慶</t>
  </si>
  <si>
    <t>22901967</t>
  </si>
  <si>
    <t>9787229019679</t>
  </si>
  <si>
    <t>孫鑰洋</t>
  </si>
  <si>
    <t>22902542</t>
  </si>
  <si>
    <t>9787229025427</t>
  </si>
  <si>
    <t>張鳴</t>
  </si>
  <si>
    <t>30005041</t>
  </si>
  <si>
    <t>7300050417</t>
  </si>
  <si>
    <t>中國人大</t>
  </si>
  <si>
    <t>30005121</t>
  </si>
  <si>
    <t>7300051219</t>
  </si>
  <si>
    <t>王麗麗</t>
  </si>
  <si>
    <t>30005683</t>
  </si>
  <si>
    <t>7300056830</t>
  </si>
  <si>
    <t>李文海</t>
  </si>
  <si>
    <t>30005920</t>
  </si>
  <si>
    <t>9787300059204</t>
  </si>
  <si>
    <t>劉師培著</t>
  </si>
  <si>
    <t>30007057</t>
  </si>
  <si>
    <t>7300070574</t>
  </si>
  <si>
    <t>30007058</t>
  </si>
  <si>
    <t>7300070582</t>
  </si>
  <si>
    <t>30007625</t>
  </si>
  <si>
    <t>7300076254</t>
  </si>
  <si>
    <t>中央電視臺《百家講壇》欄目組</t>
  </si>
  <si>
    <t>30007766</t>
  </si>
  <si>
    <t>7300077668</t>
  </si>
  <si>
    <t>西洛塔</t>
  </si>
  <si>
    <t>30007895</t>
  </si>
  <si>
    <t>7300078958</t>
  </si>
  <si>
    <t>葉秀山</t>
  </si>
  <si>
    <t>30008198</t>
  </si>
  <si>
    <t>9787300081984</t>
  </si>
  <si>
    <t>王小蘭主編</t>
  </si>
  <si>
    <t>30008199</t>
  </si>
  <si>
    <t>9787300081991</t>
  </si>
  <si>
    <t>30009134</t>
  </si>
  <si>
    <t>9787300091341</t>
  </si>
  <si>
    <t>冷成金</t>
  </si>
  <si>
    <t>人民大學</t>
  </si>
  <si>
    <t>30009194</t>
  </si>
  <si>
    <t>9787300091945</t>
  </si>
  <si>
    <t>塗鵬</t>
  </si>
  <si>
    <t>30009195</t>
  </si>
  <si>
    <t>9787300091952</t>
  </si>
  <si>
    <t>陳志春主編</t>
  </si>
  <si>
    <t>30009259</t>
  </si>
  <si>
    <t>9787300092591</t>
  </si>
  <si>
    <t>康震</t>
  </si>
  <si>
    <t>30009652</t>
  </si>
  <si>
    <t>9787300096520</t>
  </si>
  <si>
    <t>黃克劍</t>
  </si>
  <si>
    <t>30009849</t>
  </si>
  <si>
    <t>9787300098494</t>
  </si>
  <si>
    <t>王大慶</t>
  </si>
  <si>
    <t>30010081</t>
  </si>
  <si>
    <t>9787300100814</t>
  </si>
  <si>
    <t>範增</t>
  </si>
  <si>
    <t>30010113</t>
  </si>
  <si>
    <t>9787300101132</t>
  </si>
  <si>
    <t>羅伯特</t>
  </si>
  <si>
    <t>30010122</t>
  </si>
  <si>
    <t>9787300101224</t>
  </si>
  <si>
    <t>千春松</t>
  </si>
  <si>
    <t>30010203</t>
  </si>
  <si>
    <t>9787300102030</t>
  </si>
  <si>
    <t>蔡鍾翔 黃保真 成複旺</t>
  </si>
  <si>
    <t>30010204</t>
  </si>
  <si>
    <t>9787300102047</t>
  </si>
  <si>
    <t>成複旺 黃保真 蔡鍾翔</t>
  </si>
  <si>
    <t>30010205</t>
  </si>
  <si>
    <t>9787300102054</t>
  </si>
  <si>
    <t>成複旺 蔡鍾翔 黃保真</t>
  </si>
  <si>
    <t>30010247</t>
  </si>
  <si>
    <t>9787300102474</t>
  </si>
  <si>
    <t>黃保真 成複旺 蔡鍾翔</t>
  </si>
  <si>
    <t>30010298</t>
  </si>
  <si>
    <t>9787300102986</t>
  </si>
  <si>
    <t>黃保真 蔡鍾翔 成複旺</t>
  </si>
  <si>
    <t>30010365</t>
  </si>
  <si>
    <t>9787300103655</t>
  </si>
  <si>
    <t>羅安憲</t>
  </si>
  <si>
    <t>30010379</t>
  </si>
  <si>
    <t>9787300103792</t>
  </si>
  <si>
    <t>孫家洲 劉後濱</t>
  </si>
  <si>
    <t>30010508</t>
  </si>
  <si>
    <t>9787300105086</t>
  </si>
  <si>
    <t>魏常海</t>
  </si>
  <si>
    <t>30010864</t>
  </si>
  <si>
    <t>9787300108643</t>
  </si>
  <si>
    <t>阿簡</t>
  </si>
  <si>
    <t>30011028</t>
  </si>
  <si>
    <t>9787300110288</t>
  </si>
  <si>
    <t>侯宜傑</t>
  </si>
  <si>
    <t>30011351</t>
  </si>
  <si>
    <t>9787300113517</t>
  </si>
  <si>
    <t>30011353</t>
  </si>
  <si>
    <t>9787300113531</t>
  </si>
  <si>
    <t>謝冕</t>
  </si>
  <si>
    <t>30011355</t>
  </si>
  <si>
    <t>9787300113555</t>
  </si>
  <si>
    <t>30011357</t>
  </si>
  <si>
    <t>9787300113579</t>
  </si>
  <si>
    <t>劉納. 著</t>
  </si>
  <si>
    <t>30011457</t>
  </si>
  <si>
    <t>9787300114576</t>
  </si>
  <si>
    <t>喻中</t>
  </si>
  <si>
    <t>30011993</t>
  </si>
  <si>
    <t>9787300119939</t>
  </si>
  <si>
    <t>袁濟喜. 陳建農. 編著</t>
  </si>
  <si>
    <t>30013619</t>
  </si>
  <si>
    <t>9787300136196</t>
  </si>
  <si>
    <t>謝無量著</t>
  </si>
  <si>
    <t>30013650</t>
  </si>
  <si>
    <t>9787300136509</t>
  </si>
  <si>
    <t>30013651</t>
  </si>
  <si>
    <t>謝無量</t>
  </si>
  <si>
    <t>30013652</t>
  </si>
  <si>
    <t>9787300136523</t>
  </si>
  <si>
    <t>30101498</t>
  </si>
  <si>
    <t>7301014988</t>
  </si>
  <si>
    <t>北京大學</t>
  </si>
  <si>
    <t>30102516</t>
  </si>
  <si>
    <t>7301025165</t>
  </si>
  <si>
    <t>北京大學文獻研究所編</t>
  </si>
  <si>
    <t>30102522</t>
  </si>
  <si>
    <t>730102522X</t>
  </si>
  <si>
    <t>北京大學古文獻研究所編</t>
  </si>
  <si>
    <t>30102523</t>
  </si>
  <si>
    <t>7301025238</t>
  </si>
  <si>
    <t>30102524</t>
  </si>
  <si>
    <t>7301025246</t>
  </si>
  <si>
    <t>30102525</t>
  </si>
  <si>
    <t>7301025254</t>
  </si>
  <si>
    <t>30103225</t>
  </si>
  <si>
    <t>7301032250</t>
  </si>
  <si>
    <t>何綿山</t>
  </si>
  <si>
    <t>30105339</t>
  </si>
  <si>
    <t>7301053398</t>
  </si>
  <si>
    <t>錢理群</t>
  </si>
  <si>
    <t>30106043</t>
  </si>
  <si>
    <t>7301060432</t>
  </si>
  <si>
    <t>范伯群</t>
  </si>
  <si>
    <t>30106431</t>
  </si>
  <si>
    <t>7301064314</t>
  </si>
  <si>
    <t>淩繼堯</t>
  </si>
  <si>
    <t>30106481</t>
  </si>
  <si>
    <t>7301064810</t>
  </si>
  <si>
    <t>燕繼榮</t>
  </si>
  <si>
    <t>30107983</t>
  </si>
  <si>
    <t>7301079834</t>
  </si>
  <si>
    <t>喬以鋼</t>
  </si>
  <si>
    <t>30108424</t>
  </si>
  <si>
    <t>9787301084243</t>
  </si>
  <si>
    <t>林佳莉</t>
  </si>
  <si>
    <t>30109707</t>
  </si>
  <si>
    <t>9787301097076</t>
  </si>
  <si>
    <t>北京大學中國詩歌研究院</t>
  </si>
  <si>
    <t>30110181</t>
  </si>
  <si>
    <t>7301101813</t>
  </si>
  <si>
    <t>傅書華</t>
  </si>
  <si>
    <t>30110815</t>
  </si>
  <si>
    <t>730110815X</t>
  </si>
  <si>
    <t>付遙</t>
  </si>
  <si>
    <t>30110841</t>
  </si>
  <si>
    <t>7301108419</t>
  </si>
  <si>
    <t>陳平原</t>
  </si>
  <si>
    <t>30110847</t>
  </si>
  <si>
    <t>7301108478</t>
  </si>
  <si>
    <t>王一方</t>
  </si>
  <si>
    <t>30111093</t>
  </si>
  <si>
    <t>7301110936</t>
  </si>
  <si>
    <t>羅維</t>
  </si>
  <si>
    <t>30111097</t>
  </si>
  <si>
    <t>7301110979</t>
  </si>
  <si>
    <t>蒙培元</t>
  </si>
  <si>
    <t>30111177</t>
  </si>
  <si>
    <t>7301111770</t>
  </si>
  <si>
    <t>王作全</t>
  </si>
  <si>
    <t>30111284</t>
  </si>
  <si>
    <t>730111284X</t>
  </si>
  <si>
    <t>北京大學歷史地理研究中心編</t>
  </si>
  <si>
    <t>30111362</t>
  </si>
  <si>
    <t>7301113625</t>
  </si>
  <si>
    <t>黃梅</t>
  </si>
  <si>
    <t>30111364</t>
  </si>
  <si>
    <t>7301113641</t>
  </si>
  <si>
    <t>史密斯</t>
  </si>
  <si>
    <t>30111366</t>
  </si>
  <si>
    <t>7301113668</t>
  </si>
  <si>
    <t>倫特恰瓦</t>
  </si>
  <si>
    <t>30111378</t>
  </si>
  <si>
    <t>7301113781</t>
  </si>
  <si>
    <t>班塔</t>
  </si>
  <si>
    <t>30111379</t>
  </si>
  <si>
    <t>730111379X</t>
  </si>
  <si>
    <t>布賴恩</t>
  </si>
  <si>
    <t>30111382</t>
  </si>
  <si>
    <t>730111382X</t>
  </si>
  <si>
    <t>奧唐內爾</t>
  </si>
  <si>
    <t>30111385</t>
  </si>
  <si>
    <t>7301113854</t>
  </si>
  <si>
    <t>哈裏斯</t>
  </si>
  <si>
    <t>30111388</t>
  </si>
  <si>
    <t>7301113889</t>
  </si>
  <si>
    <t>埃斯</t>
  </si>
  <si>
    <t>30111389</t>
  </si>
  <si>
    <t>7301113897</t>
  </si>
  <si>
    <t>克勞利</t>
  </si>
  <si>
    <t>30111409</t>
  </si>
  <si>
    <t>7301114095</t>
  </si>
  <si>
    <t>瓦格納</t>
  </si>
  <si>
    <t>30111410</t>
  </si>
  <si>
    <t>7301114109</t>
  </si>
  <si>
    <t>霍華德</t>
  </si>
  <si>
    <t>30111412</t>
  </si>
  <si>
    <t>7301114125</t>
  </si>
  <si>
    <t>米利根</t>
  </si>
  <si>
    <t>30111437</t>
  </si>
  <si>
    <t>7301114370</t>
  </si>
  <si>
    <t>金納蒙</t>
  </si>
  <si>
    <t>30111461</t>
  </si>
  <si>
    <t>7301114613</t>
  </si>
  <si>
    <t>奧克沃德</t>
  </si>
  <si>
    <t>30111694</t>
  </si>
  <si>
    <t>9787301116944</t>
  </si>
  <si>
    <t>喻天舒</t>
  </si>
  <si>
    <t>30112188</t>
  </si>
  <si>
    <t>9787301121887</t>
  </si>
  <si>
    <t>30112446</t>
  </si>
  <si>
    <t>9787301124468</t>
  </si>
  <si>
    <t>餘虹</t>
  </si>
  <si>
    <t>30112468</t>
  </si>
  <si>
    <t>9787301124680</t>
  </si>
  <si>
    <t>肖立</t>
  </si>
  <si>
    <t>30112756</t>
  </si>
  <si>
    <t>9787301127568</t>
  </si>
  <si>
    <t>殷嘯虎</t>
  </si>
  <si>
    <t>30113128</t>
  </si>
  <si>
    <t>9787301131282</t>
  </si>
  <si>
    <t>王其鈞</t>
  </si>
  <si>
    <t>30113129</t>
  </si>
  <si>
    <t>9787301131299</t>
  </si>
  <si>
    <t>霍華</t>
  </si>
  <si>
    <t>30113159</t>
  </si>
  <si>
    <t>9787301131596</t>
  </si>
  <si>
    <t>錢念孫</t>
  </si>
  <si>
    <t>30113160</t>
  </si>
  <si>
    <t>9787301131602</t>
  </si>
  <si>
    <t>夏桂楣</t>
  </si>
  <si>
    <t>30113277</t>
  </si>
  <si>
    <t>9787301132777</t>
  </si>
  <si>
    <t>葉嘉瑩</t>
  </si>
  <si>
    <t>30113323</t>
  </si>
  <si>
    <t>9787301133231</t>
  </si>
  <si>
    <t>劉玉才 等</t>
  </si>
  <si>
    <t>30113463</t>
  </si>
  <si>
    <t>9787301134634</t>
  </si>
  <si>
    <t>費孝通</t>
  </si>
  <si>
    <t>30113686</t>
  </si>
  <si>
    <t>9787301136867</t>
  </si>
  <si>
    <t>王瑤</t>
  </si>
  <si>
    <t>30113731</t>
  </si>
  <si>
    <t>9787301137314</t>
  </si>
  <si>
    <t>湯哲聲</t>
  </si>
  <si>
    <t>30113979</t>
  </si>
  <si>
    <t>9787301139790</t>
  </si>
  <si>
    <t>30113999</t>
  </si>
  <si>
    <t>9787301139998</t>
  </si>
  <si>
    <t>30114066</t>
  </si>
  <si>
    <t>9787301140666</t>
  </si>
  <si>
    <t>胡華</t>
  </si>
  <si>
    <t>30114220</t>
  </si>
  <si>
    <t>9787301142202</t>
  </si>
  <si>
    <t>張帆</t>
  </si>
  <si>
    <t>30114406</t>
  </si>
  <si>
    <t>9787301144060</t>
  </si>
  <si>
    <t>30114745</t>
  </si>
  <si>
    <t>9787301147450</t>
  </si>
  <si>
    <t>焦玉</t>
  </si>
  <si>
    <t>30114766</t>
  </si>
  <si>
    <t>9787301147665</t>
  </si>
  <si>
    <t>30114769</t>
  </si>
  <si>
    <t>9787301147696</t>
  </si>
  <si>
    <t>用人的格局</t>
  </si>
  <si>
    <t>馮世斌</t>
  </si>
  <si>
    <t>30114825</t>
  </si>
  <si>
    <t>9787301148259</t>
  </si>
  <si>
    <t>林徽因</t>
  </si>
  <si>
    <t>30114834</t>
  </si>
  <si>
    <t>9787301148341</t>
  </si>
  <si>
    <t>俞伯平</t>
  </si>
  <si>
    <t>30115069</t>
  </si>
  <si>
    <t>9787301150696</t>
  </si>
  <si>
    <t>許結</t>
  </si>
  <si>
    <t>30115087</t>
  </si>
  <si>
    <t>9787301150870</t>
  </si>
  <si>
    <t>30115151</t>
  </si>
  <si>
    <t>9787301151518</t>
  </si>
  <si>
    <t>洪子誠</t>
  </si>
  <si>
    <t>30115196</t>
  </si>
  <si>
    <t>9787301151969</t>
  </si>
  <si>
    <t>王貴生著</t>
  </si>
  <si>
    <t>30115252</t>
  </si>
  <si>
    <t>9787301152522</t>
  </si>
  <si>
    <t>蔡小容</t>
  </si>
  <si>
    <t>30115253</t>
  </si>
  <si>
    <t>9787301152539</t>
  </si>
  <si>
    <t>武玉梅</t>
  </si>
  <si>
    <t>30115373</t>
  </si>
  <si>
    <t>9787301153734</t>
  </si>
  <si>
    <t>30115426</t>
  </si>
  <si>
    <t>9787301154267</t>
  </si>
  <si>
    <t>30115442</t>
  </si>
  <si>
    <t>9787301154427</t>
  </si>
  <si>
    <t>孫鶴</t>
  </si>
  <si>
    <t>30115490</t>
  </si>
  <si>
    <t>9787301154908</t>
  </si>
  <si>
    <t>馬慶洲</t>
  </si>
  <si>
    <t>30115558</t>
  </si>
  <si>
    <t>9787301155585</t>
  </si>
  <si>
    <t>向回</t>
  </si>
  <si>
    <t>30115680</t>
  </si>
  <si>
    <t>9787301156803</t>
  </si>
  <si>
    <t>蔡元培</t>
  </si>
  <si>
    <t>30115682</t>
  </si>
  <si>
    <t>9787301156827</t>
  </si>
  <si>
    <t>張蔭麟</t>
  </si>
  <si>
    <t>30115753</t>
  </si>
  <si>
    <t>9787301157534</t>
  </si>
  <si>
    <t>程光煒編</t>
  </si>
  <si>
    <t>30115808</t>
  </si>
  <si>
    <t>9787301158081</t>
  </si>
  <si>
    <t>30115984</t>
  </si>
  <si>
    <t>9787301159842</t>
  </si>
  <si>
    <t>陳蘇鎮</t>
  </si>
  <si>
    <t>30116110</t>
  </si>
  <si>
    <t>9787301161104</t>
  </si>
  <si>
    <t>王倩</t>
  </si>
  <si>
    <t>30116172</t>
  </si>
  <si>
    <t>9787301161722</t>
  </si>
  <si>
    <t>郭有獻</t>
  </si>
  <si>
    <t>30116214</t>
  </si>
  <si>
    <t>9787301162149</t>
  </si>
  <si>
    <t>何寄澎</t>
  </si>
  <si>
    <t>30116242</t>
  </si>
  <si>
    <t>9787301162422</t>
  </si>
  <si>
    <t>牛大勇</t>
  </si>
  <si>
    <t>30116266</t>
  </si>
  <si>
    <t>9787301162668</t>
  </si>
  <si>
    <t>王學典</t>
  </si>
  <si>
    <t>30116286</t>
  </si>
  <si>
    <t>9787301162866</t>
  </si>
  <si>
    <t>趙玉敏</t>
  </si>
  <si>
    <t>30116312</t>
  </si>
  <si>
    <t>9787301163122</t>
  </si>
  <si>
    <t>張建國.薛群慧著</t>
  </si>
  <si>
    <t>30116338</t>
  </si>
  <si>
    <t>9787301163382</t>
  </si>
  <si>
    <t>季紅真</t>
  </si>
  <si>
    <t>30116426</t>
  </si>
  <si>
    <t>9787301164266</t>
  </si>
  <si>
    <t>陳平原著</t>
  </si>
  <si>
    <t>30116560</t>
  </si>
  <si>
    <t>9787301165607</t>
  </si>
  <si>
    <t>何兆武</t>
  </si>
  <si>
    <t>30116577</t>
  </si>
  <si>
    <t>9787301165775</t>
  </si>
  <si>
    <t>潘光旦</t>
  </si>
  <si>
    <t>30116954</t>
  </si>
  <si>
    <t>9787301169544</t>
  </si>
  <si>
    <t>楊立華</t>
  </si>
  <si>
    <t>30117097</t>
  </si>
  <si>
    <t>9787301170977</t>
  </si>
  <si>
    <t>高丙中. 著</t>
  </si>
  <si>
    <t>30117192</t>
  </si>
  <si>
    <t>9787301171929</t>
  </si>
  <si>
    <t>張少康. 著</t>
  </si>
  <si>
    <t>30117221</t>
  </si>
  <si>
    <t>9787301172216</t>
  </si>
  <si>
    <t>張鬱乎. 著</t>
  </si>
  <si>
    <t>30117224</t>
  </si>
  <si>
    <t>9787301172247</t>
  </si>
  <si>
    <t>趙玲玲</t>
  </si>
  <si>
    <t>30117701</t>
  </si>
  <si>
    <t>9787301177013</t>
  </si>
  <si>
    <t>劉東</t>
  </si>
  <si>
    <t>30117775</t>
  </si>
  <si>
    <t>9787301177754</t>
  </si>
  <si>
    <t>30119202</t>
  </si>
  <si>
    <t>9787301192023</t>
  </si>
  <si>
    <t>趙冬梅著</t>
  </si>
  <si>
    <t>30220339</t>
  </si>
  <si>
    <t>7302203391</t>
  </si>
  <si>
    <t>清華大學</t>
  </si>
  <si>
    <t>30307960</t>
  </si>
  <si>
    <t>7303079602</t>
  </si>
  <si>
    <t>劉勇</t>
  </si>
  <si>
    <t>北京師大</t>
  </si>
  <si>
    <t>30309866</t>
  </si>
  <si>
    <t>9787303098668</t>
  </si>
  <si>
    <t>鄭師渠</t>
  </si>
  <si>
    <t>30309867</t>
  </si>
  <si>
    <t>9787303098675</t>
  </si>
  <si>
    <t>30309868</t>
  </si>
  <si>
    <t>9787303098682</t>
  </si>
  <si>
    <t>30309869</t>
  </si>
  <si>
    <t>9787303098699</t>
  </si>
  <si>
    <t>30310592</t>
  </si>
  <si>
    <t>9787303105922</t>
  </si>
  <si>
    <t>汝企和 主編</t>
  </si>
  <si>
    <t>30310868</t>
  </si>
  <si>
    <t>9787303108688</t>
  </si>
  <si>
    <t>黃會林. 史可揚. 主編</t>
  </si>
  <si>
    <t>30503812</t>
  </si>
  <si>
    <t>7305038121</t>
  </si>
  <si>
    <t>韋明鏵</t>
  </si>
  <si>
    <t>南京大學</t>
  </si>
  <si>
    <t>30503812B</t>
  </si>
  <si>
    <t>杜海</t>
  </si>
  <si>
    <t>30503812C</t>
  </si>
  <si>
    <t>韋艾佳</t>
  </si>
  <si>
    <t>30505232</t>
  </si>
  <si>
    <t>9787305052323</t>
  </si>
  <si>
    <t>吳為山，傳義主編</t>
  </si>
  <si>
    <t>30505533</t>
  </si>
  <si>
    <t>9787305055331</t>
  </si>
  <si>
    <t>徐興無</t>
  </si>
  <si>
    <t>30505616</t>
  </si>
  <si>
    <t>9787305056161</t>
  </si>
  <si>
    <t>周憲編</t>
  </si>
  <si>
    <t>30505937</t>
  </si>
  <si>
    <t>9787305059377</t>
  </si>
  <si>
    <t>郝潤華，武秀成著</t>
  </si>
  <si>
    <t>30505951</t>
  </si>
  <si>
    <t>9787305059513</t>
  </si>
  <si>
    <t>陳其泰  趙永春</t>
  </si>
  <si>
    <t>30505988</t>
  </si>
  <si>
    <t>9787305059889</t>
  </si>
  <si>
    <t>王步高著</t>
  </si>
  <si>
    <t>30505999</t>
  </si>
  <si>
    <t>9787305059995</t>
  </si>
  <si>
    <t>郭文韜，嚴火其著</t>
  </si>
  <si>
    <t>30506608</t>
  </si>
  <si>
    <t>9787305066085</t>
  </si>
  <si>
    <t>童強.李喜燕著</t>
  </si>
  <si>
    <t>30506795</t>
  </si>
  <si>
    <t>9787305067952</t>
  </si>
  <si>
    <t>蔣廣學. 主編</t>
  </si>
  <si>
    <t>30507294</t>
  </si>
  <si>
    <t>9787305072949</t>
  </si>
  <si>
    <t>郭維森</t>
  </si>
  <si>
    <t>30704473</t>
  </si>
  <si>
    <t>7307044730</t>
  </si>
  <si>
    <t>武漢大學</t>
  </si>
  <si>
    <t>30704484</t>
  </si>
  <si>
    <t>7307044846</t>
  </si>
  <si>
    <t>陳國恩</t>
  </si>
  <si>
    <t>30705582</t>
  </si>
  <si>
    <t>7307055821</t>
  </si>
  <si>
    <t>梅朝榮</t>
  </si>
  <si>
    <t>30706135</t>
  </si>
  <si>
    <t>9787307061354</t>
  </si>
  <si>
    <t>0</t>
  </si>
  <si>
    <t>30706731</t>
  </si>
  <si>
    <t>9787307067318</t>
  </si>
  <si>
    <t>朱東潤</t>
  </si>
  <si>
    <t>30706878</t>
  </si>
  <si>
    <t>9787307068780</t>
  </si>
  <si>
    <t>30706973</t>
  </si>
  <si>
    <t>9787307069732</t>
  </si>
  <si>
    <t>餘來明</t>
  </si>
  <si>
    <t>30706975</t>
  </si>
  <si>
    <t>9787307069756</t>
  </si>
  <si>
    <t>王又平</t>
  </si>
  <si>
    <t>30707538</t>
  </si>
  <si>
    <t>9787307075382</t>
  </si>
  <si>
    <t>北地舞人</t>
  </si>
  <si>
    <t>30707573</t>
  </si>
  <si>
    <t>9787307075733</t>
  </si>
  <si>
    <t>吳良寶</t>
  </si>
  <si>
    <t>30803503</t>
  </si>
  <si>
    <t>7308035034</t>
  </si>
  <si>
    <t>浙江大學</t>
  </si>
  <si>
    <t>30804734</t>
  </si>
  <si>
    <t>7308047342</t>
  </si>
  <si>
    <t>姚江波</t>
  </si>
  <si>
    <t>30804769</t>
  </si>
  <si>
    <t>7308047695</t>
  </si>
  <si>
    <t>彭萬隆</t>
  </si>
  <si>
    <t>30805982</t>
  </si>
  <si>
    <t>9787308059824</t>
  </si>
  <si>
    <t>王煥鑣</t>
  </si>
  <si>
    <t>30807909</t>
  </si>
  <si>
    <t>9787308079099</t>
  </si>
  <si>
    <t>潘競賢</t>
  </si>
  <si>
    <t>30902516</t>
  </si>
  <si>
    <t>7309025164</t>
  </si>
  <si>
    <t>顏志剛</t>
  </si>
  <si>
    <t>復旦大學</t>
  </si>
  <si>
    <t>30903819</t>
  </si>
  <si>
    <t>7309038193</t>
  </si>
  <si>
    <t>黃忠敬</t>
  </si>
  <si>
    <t>30903968</t>
  </si>
  <si>
    <t>7309039688</t>
  </si>
  <si>
    <t>陳思和</t>
  </si>
  <si>
    <t>30904124</t>
  </si>
  <si>
    <t>7309041240</t>
  </si>
  <si>
    <t>程曼麗</t>
  </si>
  <si>
    <t>30904461</t>
  </si>
  <si>
    <t>7309044614</t>
  </si>
  <si>
    <t>王朝聞</t>
  </si>
  <si>
    <t>30904490</t>
  </si>
  <si>
    <t>7309044908</t>
  </si>
  <si>
    <t>薛中軍</t>
  </si>
  <si>
    <t>30904566</t>
  </si>
  <si>
    <t>7309045661</t>
  </si>
  <si>
    <t>陳正宏 梁穎</t>
  </si>
  <si>
    <t>30904597</t>
  </si>
  <si>
    <t>7309045971</t>
  </si>
  <si>
    <t>方平</t>
  </si>
  <si>
    <t>30904629</t>
  </si>
  <si>
    <t>7309046293</t>
  </si>
  <si>
    <t>BOB</t>
  </si>
  <si>
    <t>30904827</t>
  </si>
  <si>
    <t>730904827X</t>
  </si>
  <si>
    <t>(美)喬伊.哈克姆</t>
  </si>
  <si>
    <t>30905003</t>
  </si>
  <si>
    <t>7309050037</t>
  </si>
  <si>
    <t>喬國強</t>
  </si>
  <si>
    <t>30905062</t>
  </si>
  <si>
    <t>7309050622</t>
  </si>
  <si>
    <t>廬隱</t>
  </si>
  <si>
    <t>30905296</t>
  </si>
  <si>
    <t>730905296X</t>
  </si>
  <si>
    <t>王光東</t>
  </si>
  <si>
    <t>30906445</t>
  </si>
  <si>
    <t>9787309064452</t>
  </si>
  <si>
    <t>陳思和著</t>
  </si>
  <si>
    <t>30906483</t>
  </si>
  <si>
    <t>9787309064834</t>
  </si>
  <si>
    <t>駱玉明著</t>
  </si>
  <si>
    <t>30906536</t>
  </si>
  <si>
    <t>9787309065367</t>
  </si>
  <si>
    <t>鮑鵬山著</t>
  </si>
  <si>
    <t>30906604</t>
  </si>
  <si>
    <t>9787309066043</t>
  </si>
  <si>
    <t>李其綱</t>
  </si>
  <si>
    <t>30906805</t>
  </si>
  <si>
    <t>9787309068054</t>
  </si>
  <si>
    <t>證嚴法師</t>
  </si>
  <si>
    <t>30906894</t>
  </si>
  <si>
    <t>9787309068948</t>
  </si>
  <si>
    <t>林建發</t>
  </si>
  <si>
    <t>30906896</t>
  </si>
  <si>
    <t>9787309068962</t>
  </si>
  <si>
    <t>姜義華</t>
  </si>
  <si>
    <t>30907256</t>
  </si>
  <si>
    <t>9787309072563</t>
  </si>
  <si>
    <t>錢乘旦. 著</t>
  </si>
  <si>
    <t>30907477</t>
  </si>
  <si>
    <t>9787309074772</t>
  </si>
  <si>
    <t>何光滬. 著</t>
  </si>
  <si>
    <t>31001753</t>
  </si>
  <si>
    <t>7310017536</t>
  </si>
  <si>
    <t>喬以鋼著</t>
  </si>
  <si>
    <t>南開大學</t>
  </si>
  <si>
    <t>31003386</t>
  </si>
  <si>
    <t>9787310033867</t>
  </si>
  <si>
    <t>任德魁. 著</t>
  </si>
  <si>
    <t>31003410</t>
  </si>
  <si>
    <t>9787310034109</t>
  </si>
  <si>
    <t>張莉. 著</t>
  </si>
  <si>
    <t>31003416</t>
  </si>
  <si>
    <t>9787310034161</t>
  </si>
  <si>
    <t>吳克祥. 曾婷婷. 編著</t>
  </si>
  <si>
    <t>31305743</t>
  </si>
  <si>
    <t>9787313057433</t>
  </si>
  <si>
    <t>羅伯特·科爾著</t>
  </si>
  <si>
    <t>上海交大</t>
  </si>
  <si>
    <t>31306370</t>
  </si>
  <si>
    <t>9787313063700</t>
  </si>
  <si>
    <t>張亞祥. 著</t>
  </si>
  <si>
    <t>50007823</t>
  </si>
  <si>
    <t>9787500078234</t>
  </si>
  <si>
    <t>江一帆</t>
  </si>
  <si>
    <t>中國大百科</t>
  </si>
  <si>
    <t>50007904</t>
  </si>
  <si>
    <t>9787500079040</t>
  </si>
  <si>
    <t>50007915</t>
  </si>
  <si>
    <t>9787500079156</t>
  </si>
  <si>
    <t>50007917</t>
  </si>
  <si>
    <t>9787500079170</t>
  </si>
  <si>
    <t>50007986</t>
  </si>
  <si>
    <t>9787500079866</t>
  </si>
  <si>
    <t>50008053</t>
  </si>
  <si>
    <t>9787500080534</t>
  </si>
  <si>
    <t>50044433</t>
  </si>
  <si>
    <t>7500444338</t>
  </si>
  <si>
    <t>淩浩</t>
  </si>
  <si>
    <t>中國社科</t>
  </si>
  <si>
    <t>50045485</t>
  </si>
  <si>
    <t>7500454856</t>
  </si>
  <si>
    <t>王  傑著</t>
  </si>
  <si>
    <t>50046206</t>
  </si>
  <si>
    <t>9787500462064</t>
  </si>
  <si>
    <t>李先國</t>
  </si>
  <si>
    <t>50046256</t>
  </si>
  <si>
    <t>7500462565</t>
  </si>
  <si>
    <t>熊家良</t>
  </si>
  <si>
    <t>50046842</t>
  </si>
  <si>
    <t>9787500468424</t>
  </si>
  <si>
    <t>劉永麗</t>
  </si>
  <si>
    <t>50046871</t>
  </si>
  <si>
    <t>9787500468714</t>
  </si>
  <si>
    <t>邱昌員</t>
  </si>
  <si>
    <t>50047436</t>
  </si>
  <si>
    <t>9787500474364</t>
  </si>
  <si>
    <t>陳青之</t>
  </si>
  <si>
    <t>50047501</t>
  </si>
  <si>
    <t>9787500475019</t>
  </si>
  <si>
    <t>老鬼</t>
  </si>
  <si>
    <t>50047536</t>
  </si>
  <si>
    <t>9787500475361</t>
  </si>
  <si>
    <t>周雪香</t>
  </si>
  <si>
    <t>50047546</t>
  </si>
  <si>
    <t>9787500475460</t>
  </si>
  <si>
    <t>邵耀武</t>
  </si>
  <si>
    <t>50047642</t>
  </si>
  <si>
    <t>9787500476429</t>
  </si>
  <si>
    <t>50047643</t>
  </si>
  <si>
    <t>9787500476436</t>
  </si>
  <si>
    <t>彭多意</t>
  </si>
  <si>
    <t>50047650</t>
  </si>
  <si>
    <t>9787500476504</t>
  </si>
  <si>
    <t>龐慧著</t>
  </si>
  <si>
    <t>50047692</t>
  </si>
  <si>
    <t>9787500476924</t>
  </si>
  <si>
    <t>單周堯</t>
  </si>
  <si>
    <t>50047723</t>
  </si>
  <si>
    <t>9787500477235</t>
  </si>
  <si>
    <t>田思陽</t>
  </si>
  <si>
    <t>50047729</t>
  </si>
  <si>
    <t>9787500477297</t>
  </si>
  <si>
    <t>何明</t>
  </si>
  <si>
    <t>50048107</t>
  </si>
  <si>
    <t>9787500481072</t>
  </si>
  <si>
    <t>鄭午昌</t>
  </si>
  <si>
    <t>50048130</t>
  </si>
  <si>
    <t>9787500481300</t>
  </si>
  <si>
    <t>李蓉</t>
  </si>
  <si>
    <t>50048194</t>
  </si>
  <si>
    <t>9787500481942</t>
  </si>
  <si>
    <t>50048204</t>
  </si>
  <si>
    <t>9787500482048</t>
  </si>
  <si>
    <t>陳勇</t>
  </si>
  <si>
    <t>50048269</t>
  </si>
  <si>
    <t>9787500482697</t>
  </si>
  <si>
    <t>張啟華</t>
  </si>
  <si>
    <t>50048297</t>
  </si>
  <si>
    <t>9787500482970</t>
  </si>
  <si>
    <t>鍾肇鵬</t>
  </si>
  <si>
    <t>50048319</t>
  </si>
  <si>
    <t>9787500483199</t>
  </si>
  <si>
    <t>滑明達</t>
  </si>
  <si>
    <t>50048428</t>
  </si>
  <si>
    <t>9787500484288</t>
  </si>
  <si>
    <t>梁小民</t>
  </si>
  <si>
    <t>50048446</t>
  </si>
  <si>
    <t>9787500484462</t>
  </si>
  <si>
    <t>劉雲春</t>
  </si>
  <si>
    <t>50048478</t>
  </si>
  <si>
    <t>9787500484783</t>
  </si>
  <si>
    <t>李豔紅</t>
  </si>
  <si>
    <t>50048496</t>
  </si>
  <si>
    <t>9787500484967</t>
  </si>
  <si>
    <t>孫炯</t>
  </si>
  <si>
    <t>50048747</t>
  </si>
  <si>
    <t>9787500487470</t>
  </si>
  <si>
    <t>羅蓧玉</t>
  </si>
  <si>
    <t>社會科學</t>
  </si>
  <si>
    <t>50048761</t>
  </si>
  <si>
    <t>9787500487616</t>
  </si>
  <si>
    <t>陳允鋒</t>
  </si>
  <si>
    <t>50048840</t>
  </si>
  <si>
    <t>9787500488408</t>
  </si>
  <si>
    <t>胡大雷</t>
  </si>
  <si>
    <t>50049038</t>
  </si>
  <si>
    <t>9787500490388</t>
  </si>
  <si>
    <t>潘智彪</t>
  </si>
  <si>
    <t>50049341</t>
  </si>
  <si>
    <t>9787500493419</t>
  </si>
  <si>
    <t>榮新</t>
  </si>
  <si>
    <t>50059431</t>
  </si>
  <si>
    <t>7500594313</t>
  </si>
  <si>
    <t>萊特</t>
  </si>
  <si>
    <t>中國財經</t>
  </si>
  <si>
    <t>50065710</t>
  </si>
  <si>
    <t>7500657102</t>
  </si>
  <si>
    <t>(英)沃布22利克</t>
  </si>
  <si>
    <t>中國青年</t>
  </si>
  <si>
    <t>50068095</t>
  </si>
  <si>
    <t>9787500680956</t>
  </si>
  <si>
    <t>羅盤</t>
  </si>
  <si>
    <t>50068336</t>
  </si>
  <si>
    <t>9787500683360</t>
  </si>
  <si>
    <t>羅江南</t>
  </si>
  <si>
    <t>50068343</t>
  </si>
  <si>
    <t>9787500683438</t>
  </si>
  <si>
    <t>50068408</t>
  </si>
  <si>
    <t>9787500684084</t>
  </si>
  <si>
    <t>楊耀健</t>
  </si>
  <si>
    <t>50068417</t>
  </si>
  <si>
    <t>9787500684176</t>
  </si>
  <si>
    <t>盧建文</t>
  </si>
  <si>
    <t>50068419</t>
  </si>
  <si>
    <t>9787500684190</t>
  </si>
  <si>
    <t>中共寧波市委宣傳部</t>
  </si>
  <si>
    <t>50068455</t>
  </si>
  <si>
    <t>9787500684558</t>
  </si>
  <si>
    <t>南翔</t>
  </si>
  <si>
    <t>50068615</t>
  </si>
  <si>
    <t>9787500686156</t>
  </si>
  <si>
    <t>林美慧著</t>
  </si>
  <si>
    <t>50084275</t>
  </si>
  <si>
    <t>9787500842750</t>
  </si>
  <si>
    <t>老鐵手</t>
  </si>
  <si>
    <t>中國工人</t>
  </si>
  <si>
    <t>50084413</t>
  </si>
  <si>
    <t>9787500844136</t>
  </si>
  <si>
    <t>飄雪樓主</t>
  </si>
  <si>
    <t>50084536</t>
  </si>
  <si>
    <t>9787500845362</t>
  </si>
  <si>
    <t>王行國</t>
  </si>
  <si>
    <t>50084537</t>
  </si>
  <si>
    <t>9787500845379</t>
  </si>
  <si>
    <t>白壽蠡</t>
  </si>
  <si>
    <t>50093172</t>
  </si>
  <si>
    <t>9787500931720</t>
  </si>
  <si>
    <t>武兵</t>
  </si>
  <si>
    <t>人民體育</t>
  </si>
  <si>
    <t>50101493</t>
  </si>
  <si>
    <t>7501014930</t>
  </si>
  <si>
    <t>趙書</t>
  </si>
  <si>
    <t>文物</t>
  </si>
  <si>
    <t>50101497</t>
  </si>
  <si>
    <t>7501014973</t>
  </si>
  <si>
    <t>黃曉峰</t>
  </si>
  <si>
    <t>50101499</t>
  </si>
  <si>
    <t>750101499X</t>
  </si>
  <si>
    <t>劉海青</t>
  </si>
  <si>
    <t>50101500</t>
  </si>
  <si>
    <t>7501015007</t>
  </si>
  <si>
    <t>李諍</t>
  </si>
  <si>
    <t>50101503</t>
  </si>
  <si>
    <t>7501015031</t>
  </si>
  <si>
    <t>50101504</t>
  </si>
  <si>
    <t>750101504X</t>
  </si>
  <si>
    <t>50101505</t>
  </si>
  <si>
    <t>7501015058</t>
  </si>
  <si>
    <t>50101506</t>
  </si>
  <si>
    <t>7501015066</t>
  </si>
  <si>
    <t>50101576</t>
  </si>
  <si>
    <t>7501015767</t>
  </si>
  <si>
    <t>張寶章</t>
  </si>
  <si>
    <t>50101577</t>
  </si>
  <si>
    <t>7501015775</t>
  </si>
  <si>
    <t>韓春鳴</t>
  </si>
  <si>
    <t>50101581</t>
  </si>
  <si>
    <t>7501015813</t>
  </si>
  <si>
    <t>50101587</t>
  </si>
  <si>
    <t>7501015872</t>
  </si>
  <si>
    <t>楊明珠</t>
  </si>
  <si>
    <t>50101642</t>
  </si>
  <si>
    <t>7501016429</t>
  </si>
  <si>
    <t>50101675</t>
  </si>
  <si>
    <t>7501016755</t>
  </si>
  <si>
    <t>50101693</t>
  </si>
  <si>
    <t>7501016933</t>
  </si>
  <si>
    <t>50101703</t>
  </si>
  <si>
    <t>7501017034</t>
  </si>
  <si>
    <t>50101705</t>
  </si>
  <si>
    <t>7501017050</t>
  </si>
  <si>
    <t>50101718</t>
  </si>
  <si>
    <t>7501017182</t>
  </si>
  <si>
    <t>50101719</t>
  </si>
  <si>
    <t>7501017190</t>
  </si>
  <si>
    <t>50101795</t>
  </si>
  <si>
    <t>7501017956</t>
  </si>
  <si>
    <t>佛山市博物館</t>
  </si>
  <si>
    <t>50102042</t>
  </si>
  <si>
    <t>9787501020423</t>
  </si>
  <si>
    <t>魏力群</t>
  </si>
  <si>
    <t>50102065</t>
  </si>
  <si>
    <t>9787501020652</t>
  </si>
  <si>
    <t>丁文父</t>
  </si>
  <si>
    <t>50102392</t>
  </si>
  <si>
    <t>9787501023929</t>
  </si>
  <si>
    <t>望野</t>
  </si>
  <si>
    <t>50102449</t>
  </si>
  <si>
    <t>9787501024490</t>
  </si>
  <si>
    <t>趙力光著</t>
  </si>
  <si>
    <t>50102463</t>
  </si>
  <si>
    <t>9787501024636</t>
  </si>
  <si>
    <t>王興</t>
  </si>
  <si>
    <t>50102490</t>
  </si>
  <si>
    <t>9787501024902</t>
  </si>
  <si>
    <t>南京博物院、江蘇省考古研究所編著</t>
  </si>
  <si>
    <t>50102537</t>
  </si>
  <si>
    <t>9787501025374</t>
  </si>
  <si>
    <t>軍事博物館</t>
  </si>
  <si>
    <t>50102594</t>
  </si>
  <si>
    <t>9787501025947</t>
  </si>
  <si>
    <t>廣西壯族自治區博物館編</t>
  </si>
  <si>
    <t>50102624</t>
  </si>
  <si>
    <t>9787501026241</t>
  </si>
  <si>
    <t>吳敢</t>
  </si>
  <si>
    <t>50102642</t>
  </si>
  <si>
    <t>9787501026425</t>
  </si>
  <si>
    <t>50102647</t>
  </si>
  <si>
    <t>9787501026470</t>
  </si>
  <si>
    <t>50102743</t>
  </si>
  <si>
    <t>9787501027439</t>
  </si>
  <si>
    <t>吳雪杉編著</t>
  </si>
  <si>
    <t>50102791</t>
  </si>
  <si>
    <t>9787501027910</t>
  </si>
  <si>
    <t>陳道義</t>
  </si>
  <si>
    <t>50102831</t>
  </si>
  <si>
    <t>9787501028313</t>
  </si>
  <si>
    <t>佚名</t>
  </si>
  <si>
    <t>50102871</t>
  </si>
  <si>
    <t>9787501028719</t>
  </si>
  <si>
    <t>50102899</t>
  </si>
  <si>
    <t>9787501028993</t>
  </si>
  <si>
    <t>50102913</t>
  </si>
  <si>
    <t>9787501029136</t>
  </si>
  <si>
    <t>趙琛、張世河</t>
  </si>
  <si>
    <t>50117330</t>
  </si>
  <si>
    <t>7501173303</t>
  </si>
  <si>
    <t>梅冬閣</t>
  </si>
  <si>
    <t>新華</t>
  </si>
  <si>
    <t>50117890</t>
  </si>
  <si>
    <t>9787501178902</t>
  </si>
  <si>
    <t>且東</t>
  </si>
  <si>
    <t>50118225</t>
  </si>
  <si>
    <t>9787501182251</t>
  </si>
  <si>
    <t>50118620</t>
  </si>
  <si>
    <t>9787501186204</t>
  </si>
  <si>
    <t>白義忠著</t>
  </si>
  <si>
    <t>50123815</t>
  </si>
  <si>
    <t>9787501238156</t>
  </si>
  <si>
    <t>胡傑. 著</t>
  </si>
  <si>
    <t>世界知識</t>
  </si>
  <si>
    <t>50124044</t>
  </si>
  <si>
    <t>9787501240449</t>
  </si>
  <si>
    <t>50130002</t>
  </si>
  <si>
    <t>李雄飛 編</t>
  </si>
  <si>
    <t>北京圖書館</t>
  </si>
  <si>
    <t>50130591</t>
  </si>
  <si>
    <t>9787501305919</t>
  </si>
  <si>
    <t>汪兆鏞</t>
  </si>
  <si>
    <t>50131998</t>
  </si>
  <si>
    <t>7501319987</t>
  </si>
  <si>
    <t>元 趙孟頫 撰</t>
  </si>
  <si>
    <t>50132410</t>
  </si>
  <si>
    <t>7501324107</t>
  </si>
  <si>
    <t>50132415</t>
  </si>
  <si>
    <t>7501324158</t>
  </si>
  <si>
    <t>劉茲恒</t>
  </si>
  <si>
    <t>50132592</t>
  </si>
  <si>
    <t>7501325928</t>
  </si>
  <si>
    <t>50132624</t>
  </si>
  <si>
    <t>750132624X</t>
  </si>
  <si>
    <t>江向東</t>
  </si>
  <si>
    <t>50132738</t>
  </si>
  <si>
    <t>7501327386</t>
  </si>
  <si>
    <t>彭緒庶</t>
  </si>
  <si>
    <t>50132745</t>
  </si>
  <si>
    <t>7501327459</t>
  </si>
  <si>
    <t>王爾岡</t>
  </si>
  <si>
    <t>50132763</t>
  </si>
  <si>
    <t>7501327637</t>
  </si>
  <si>
    <t>50132766</t>
  </si>
  <si>
    <t>7501327661</t>
  </si>
  <si>
    <t>杜也力</t>
  </si>
  <si>
    <t>50132780</t>
  </si>
  <si>
    <t>7501327807</t>
  </si>
  <si>
    <t>胡元翎</t>
  </si>
  <si>
    <t>50132784</t>
  </si>
  <si>
    <t>750132784X</t>
  </si>
  <si>
    <t>朱浩文</t>
  </si>
  <si>
    <t>50132787</t>
  </si>
  <si>
    <t>7501327874</t>
  </si>
  <si>
    <t>50132793</t>
  </si>
  <si>
    <t>7501327939</t>
  </si>
  <si>
    <t>50132794</t>
  </si>
  <si>
    <t>7501327947</t>
  </si>
  <si>
    <t>50132797</t>
  </si>
  <si>
    <t>7501327971</t>
  </si>
  <si>
    <t>50132798</t>
  </si>
  <si>
    <t>750132798X</t>
  </si>
  <si>
    <t>50133003</t>
  </si>
  <si>
    <t>7501330034</t>
  </si>
  <si>
    <t>50133111</t>
  </si>
  <si>
    <t>7501331111</t>
  </si>
  <si>
    <t>楊朝英</t>
  </si>
  <si>
    <t>50133124</t>
  </si>
  <si>
    <t>7501331243</t>
  </si>
  <si>
    <t>苑克儷</t>
  </si>
  <si>
    <t>50133145</t>
  </si>
  <si>
    <t>7501331456</t>
  </si>
  <si>
    <t>邱陽</t>
  </si>
  <si>
    <t>50133160</t>
  </si>
  <si>
    <t>750133160X</t>
  </si>
  <si>
    <t>50133171</t>
  </si>
  <si>
    <t>7501331715</t>
  </si>
  <si>
    <t>喬冬梅</t>
  </si>
  <si>
    <t>50133175</t>
  </si>
  <si>
    <t>7501331758</t>
  </si>
  <si>
    <t>北京大學資訊管理系編</t>
  </si>
  <si>
    <t>50133182</t>
  </si>
  <si>
    <t>7501331820</t>
  </si>
  <si>
    <t>李東來</t>
  </si>
  <si>
    <t>50133359</t>
  </si>
  <si>
    <t>7501333599</t>
  </si>
  <si>
    <t>梁欣立</t>
  </si>
  <si>
    <t>50133435</t>
  </si>
  <si>
    <t>7501334358</t>
  </si>
  <si>
    <t>北極蒼狼</t>
  </si>
  <si>
    <t>50133468</t>
  </si>
  <si>
    <t>7501334684</t>
  </si>
  <si>
    <t>本書編</t>
  </si>
  <si>
    <t>50133553</t>
  </si>
  <si>
    <t>9787501335534</t>
  </si>
  <si>
    <t>劉登閣</t>
  </si>
  <si>
    <t>50133640</t>
  </si>
  <si>
    <t>9787501336401</t>
  </si>
  <si>
    <t>趙振華</t>
  </si>
  <si>
    <t>50133648</t>
  </si>
  <si>
    <t>9787501336487</t>
  </si>
  <si>
    <t>丁立中</t>
  </si>
  <si>
    <t>50133773</t>
  </si>
  <si>
    <t>9787501337736</t>
  </si>
  <si>
    <t>50133804</t>
  </si>
  <si>
    <t>9787501338047</t>
  </si>
  <si>
    <t>國家清史編委會</t>
  </si>
  <si>
    <t>50133825</t>
  </si>
  <si>
    <t>9787501338252</t>
  </si>
  <si>
    <t>國家圖書館</t>
  </si>
  <si>
    <t>50133827</t>
  </si>
  <si>
    <t>9787501338276</t>
  </si>
  <si>
    <t>賈貴榮</t>
  </si>
  <si>
    <t>50133977</t>
  </si>
  <si>
    <t>9787501339778</t>
  </si>
  <si>
    <t>梁欣立著</t>
  </si>
  <si>
    <t>50133990</t>
  </si>
  <si>
    <t>9787501339907</t>
  </si>
  <si>
    <t>李申主編</t>
  </si>
  <si>
    <t>50133991</t>
  </si>
  <si>
    <t>9787501339914</t>
  </si>
  <si>
    <t>李申</t>
  </si>
  <si>
    <t>50134090</t>
  </si>
  <si>
    <t>9787501340903</t>
  </si>
  <si>
    <t>劉德清</t>
  </si>
  <si>
    <t>50134203</t>
  </si>
  <si>
    <t>9787501342037</t>
  </si>
  <si>
    <t>詹頌</t>
  </si>
  <si>
    <t>50134269</t>
  </si>
  <si>
    <t>9787501342693</t>
  </si>
  <si>
    <t>王承斌</t>
  </si>
  <si>
    <t>50134571</t>
  </si>
  <si>
    <t>9787501345717</t>
  </si>
  <si>
    <t>楊豔燕編</t>
  </si>
  <si>
    <t>國圖</t>
  </si>
  <si>
    <t>50175518</t>
  </si>
  <si>
    <t>9787501755189</t>
  </si>
  <si>
    <t>李旭</t>
  </si>
  <si>
    <t>中國經濟</t>
  </si>
  <si>
    <t>50179173</t>
  </si>
  <si>
    <t>9787501791736</t>
  </si>
  <si>
    <t>陶短房</t>
  </si>
  <si>
    <t>50179410</t>
  </si>
  <si>
    <t>9787501794102</t>
  </si>
  <si>
    <t>伯頓</t>
  </si>
  <si>
    <t>50179598</t>
  </si>
  <si>
    <t>9787501795987</t>
  </si>
  <si>
    <t>範勇編著</t>
  </si>
  <si>
    <t>天地</t>
  </si>
  <si>
    <t>50195090</t>
  </si>
  <si>
    <t>7501950903</t>
  </si>
  <si>
    <t>中國輕工</t>
  </si>
  <si>
    <t>50282884</t>
  </si>
  <si>
    <t>7502828842</t>
  </si>
  <si>
    <t>紙草書——傳承千年的西方智慧全集</t>
  </si>
  <si>
    <t>歐陽正德編著</t>
  </si>
  <si>
    <t>地震</t>
  </si>
  <si>
    <t>50283605</t>
  </si>
  <si>
    <t>9787502836054</t>
  </si>
  <si>
    <t>賀建華</t>
  </si>
  <si>
    <t>50283645</t>
  </si>
  <si>
    <t>9787502836450</t>
  </si>
  <si>
    <t>50283647</t>
  </si>
  <si>
    <t>9787502836474</t>
  </si>
  <si>
    <t>何躍青</t>
  </si>
  <si>
    <t>50322525</t>
  </si>
  <si>
    <t>7503225254</t>
  </si>
  <si>
    <t>徐光偉</t>
  </si>
  <si>
    <t>中國旅遊</t>
  </si>
  <si>
    <t>50322644</t>
  </si>
  <si>
    <t>7503226447</t>
  </si>
  <si>
    <t>50342254</t>
  </si>
  <si>
    <t>9787503422546</t>
  </si>
  <si>
    <t>沈重</t>
  </si>
  <si>
    <t>中國文史</t>
  </si>
  <si>
    <t>50342255</t>
  </si>
  <si>
    <t>9787503422553</t>
  </si>
  <si>
    <t>董迎建</t>
  </si>
  <si>
    <t>50342256</t>
  </si>
  <si>
    <t>9787503422560</t>
  </si>
  <si>
    <t>王春瑜</t>
  </si>
  <si>
    <t>50342257</t>
  </si>
  <si>
    <t>9787503422577</t>
  </si>
  <si>
    <t>50342258</t>
  </si>
  <si>
    <t>9787503422584</t>
  </si>
  <si>
    <t>50342259</t>
  </si>
  <si>
    <t>9787503422591</t>
  </si>
  <si>
    <t>50342260</t>
  </si>
  <si>
    <t>9787503422607</t>
  </si>
  <si>
    <t>曹晉傑</t>
  </si>
  <si>
    <t>50342514</t>
  </si>
  <si>
    <t>9787503425141</t>
  </si>
  <si>
    <t>韓亞紅著</t>
  </si>
  <si>
    <t>50369893</t>
  </si>
  <si>
    <t>9787503698934</t>
  </si>
  <si>
    <t>張弓著</t>
  </si>
  <si>
    <t>法律</t>
  </si>
  <si>
    <t>50384765</t>
  </si>
  <si>
    <t>9787503847653</t>
  </si>
  <si>
    <t>邵忠</t>
  </si>
  <si>
    <t>中國林業</t>
  </si>
  <si>
    <t>50385086</t>
  </si>
  <si>
    <t>9787503850868</t>
  </si>
  <si>
    <t>中華人民共和國瀕危物種進出口管理辦公室</t>
  </si>
  <si>
    <t>50393928</t>
  </si>
  <si>
    <t>9787503939280</t>
  </si>
  <si>
    <t>木兒</t>
  </si>
  <si>
    <t>文化藝術</t>
  </si>
  <si>
    <t>50394326</t>
  </si>
  <si>
    <t>9787503943263</t>
  </si>
  <si>
    <t>羅怡</t>
  </si>
  <si>
    <t>50394552</t>
  </si>
  <si>
    <t>9787503945526</t>
  </si>
  <si>
    <t>草軍書</t>
  </si>
  <si>
    <t>50394639</t>
  </si>
  <si>
    <t>9787503946394</t>
  </si>
  <si>
    <t>祁定江</t>
  </si>
  <si>
    <t>50433050</t>
  </si>
  <si>
    <t>7504330507</t>
  </si>
  <si>
    <t>廣播電視</t>
  </si>
  <si>
    <t>50433051</t>
  </si>
  <si>
    <t>7504330515</t>
  </si>
  <si>
    <t>朱光耀</t>
  </si>
  <si>
    <t>50434043</t>
  </si>
  <si>
    <t>750434043X</t>
  </si>
  <si>
    <t>50435760</t>
  </si>
  <si>
    <t>9787504357601</t>
  </si>
  <si>
    <t>蔣梅笙</t>
  </si>
  <si>
    <t>50435763</t>
  </si>
  <si>
    <t>9787504357632</t>
  </si>
  <si>
    <t>張國慶</t>
  </si>
  <si>
    <t>50435766</t>
  </si>
  <si>
    <t>9787504357663</t>
  </si>
  <si>
    <t>葉海煙</t>
  </si>
  <si>
    <t>50435767</t>
  </si>
  <si>
    <t>9787504357670</t>
  </si>
  <si>
    <t>李一冉</t>
  </si>
  <si>
    <t>50435768</t>
  </si>
  <si>
    <t>9787504357687</t>
  </si>
  <si>
    <t>50436009</t>
  </si>
  <si>
    <t>9787504360091</t>
  </si>
  <si>
    <t>袁嶽</t>
  </si>
  <si>
    <t>50436089</t>
  </si>
  <si>
    <t>9787504360892</t>
  </si>
  <si>
    <t>劉敬堂</t>
  </si>
  <si>
    <t>50436276</t>
  </si>
  <si>
    <t>9787504362766</t>
  </si>
  <si>
    <t>元坤</t>
  </si>
  <si>
    <t>50446856</t>
  </si>
  <si>
    <t>9787504468567</t>
  </si>
  <si>
    <t>中國商業</t>
  </si>
  <si>
    <t>50465279</t>
  </si>
  <si>
    <t>9787504652799</t>
  </si>
  <si>
    <t>榆林市榆陽去古道研究室編</t>
  </si>
  <si>
    <t>中國科技</t>
  </si>
  <si>
    <t>50465671</t>
  </si>
  <si>
    <t>9787504656711</t>
  </si>
  <si>
    <t>紅梅</t>
  </si>
  <si>
    <t>50472444B</t>
  </si>
  <si>
    <t>7504724440</t>
  </si>
  <si>
    <t>朱寧虹編著</t>
  </si>
  <si>
    <t>中國物資</t>
  </si>
  <si>
    <t>50472444C</t>
  </si>
  <si>
    <t>50473276</t>
  </si>
  <si>
    <t>9787504732767</t>
  </si>
  <si>
    <t>照心著</t>
  </si>
  <si>
    <t>50541735</t>
  </si>
  <si>
    <t>9787505417359</t>
  </si>
  <si>
    <t>凜冽</t>
  </si>
  <si>
    <t>朝華</t>
  </si>
  <si>
    <t>50541816</t>
  </si>
  <si>
    <t>9787505418165</t>
  </si>
  <si>
    <t>紫貝</t>
  </si>
  <si>
    <t>50542287</t>
  </si>
  <si>
    <t>9787505422872</t>
  </si>
  <si>
    <t>劉金松</t>
  </si>
  <si>
    <t>50542288</t>
  </si>
  <si>
    <t>9787505422889</t>
  </si>
  <si>
    <t>周廣宇</t>
  </si>
  <si>
    <t>50542293</t>
  </si>
  <si>
    <t>9787505422933</t>
  </si>
  <si>
    <t>李世正</t>
  </si>
  <si>
    <t>50542294</t>
  </si>
  <si>
    <t>9787505422940</t>
  </si>
  <si>
    <t>張玉輝</t>
  </si>
  <si>
    <t>50542296</t>
  </si>
  <si>
    <t>9787505422964</t>
  </si>
  <si>
    <t>宋柘斌</t>
  </si>
  <si>
    <t>50542423</t>
  </si>
  <si>
    <t>9787505424234</t>
  </si>
  <si>
    <t>漪微</t>
  </si>
  <si>
    <t>50588605</t>
  </si>
  <si>
    <t>9787505886056</t>
  </si>
  <si>
    <t>王忠偉.費素斌主編</t>
  </si>
  <si>
    <t>經濟科學</t>
  </si>
  <si>
    <t>50588656</t>
  </si>
  <si>
    <t>9787505886568</t>
  </si>
  <si>
    <t>王忠偉.王書漢主編</t>
  </si>
  <si>
    <t>50595767</t>
  </si>
  <si>
    <t>9787505957671</t>
  </si>
  <si>
    <t>白庚勝</t>
  </si>
  <si>
    <t>中國文聯</t>
  </si>
  <si>
    <t>50595770</t>
  </si>
  <si>
    <t>9787505957701</t>
  </si>
  <si>
    <t>風箏(中國國粹藝術讀本)</t>
  </si>
  <si>
    <t>50595772</t>
  </si>
  <si>
    <t>9787505957725</t>
  </si>
  <si>
    <t>張嘯濤</t>
  </si>
  <si>
    <t>50595780</t>
  </si>
  <si>
    <t>9787505957800</t>
  </si>
  <si>
    <t>50595781</t>
  </si>
  <si>
    <t>9787505957817</t>
  </si>
  <si>
    <t>張燕鷹</t>
  </si>
  <si>
    <t>50595786</t>
  </si>
  <si>
    <t>9787505957862</t>
  </si>
  <si>
    <t>50601729</t>
  </si>
  <si>
    <t>7506017296</t>
  </si>
  <si>
    <t>[俄]M.B.古巴廖娃</t>
  </si>
  <si>
    <t>東方</t>
  </si>
  <si>
    <t>50602563</t>
  </si>
  <si>
    <t>7506025639</t>
  </si>
  <si>
    <t>王士如</t>
  </si>
  <si>
    <t>50603261</t>
  </si>
  <si>
    <t>9787506032612</t>
  </si>
  <si>
    <t>劉占召著</t>
  </si>
  <si>
    <t>50603438</t>
  </si>
  <si>
    <t>9787506034388</t>
  </si>
  <si>
    <t>熊萬龍著</t>
  </si>
  <si>
    <t>50603475</t>
  </si>
  <si>
    <t>9787506034753</t>
  </si>
  <si>
    <t>吳越著</t>
  </si>
  <si>
    <t>50603707</t>
  </si>
  <si>
    <t>9787506037075</t>
  </si>
  <si>
    <t>王忠和</t>
  </si>
  <si>
    <t>50603827</t>
  </si>
  <si>
    <t>9787506038270</t>
  </si>
  <si>
    <t>馮紀忠</t>
  </si>
  <si>
    <t>50603828</t>
  </si>
  <si>
    <t>9787506038287</t>
  </si>
  <si>
    <t>50603835</t>
  </si>
  <si>
    <t>9787506038355</t>
  </si>
  <si>
    <t>唐兜</t>
  </si>
  <si>
    <t>50603857</t>
  </si>
  <si>
    <t>9787506038577</t>
  </si>
  <si>
    <t>周天慶. 著</t>
  </si>
  <si>
    <t>50628946</t>
  </si>
  <si>
    <t>9787506289467</t>
  </si>
  <si>
    <t>泰山管理處</t>
  </si>
  <si>
    <t>50628948</t>
  </si>
  <si>
    <t>9787506289481</t>
  </si>
  <si>
    <t>崔曉霞</t>
  </si>
  <si>
    <t>50628949</t>
  </si>
  <si>
    <t>9787506289498</t>
  </si>
  <si>
    <t>王雲剛編著</t>
  </si>
  <si>
    <t>50628950</t>
  </si>
  <si>
    <t>9787506289504</t>
  </si>
  <si>
    <t>殷墟管理處</t>
  </si>
  <si>
    <t>50629023</t>
  </si>
  <si>
    <t>9787506290234</t>
  </si>
  <si>
    <t>傅如明</t>
  </si>
  <si>
    <t>世界圖書</t>
  </si>
  <si>
    <t>50629121</t>
  </si>
  <si>
    <t>9787506291217</t>
  </si>
  <si>
    <t>天壇管理處</t>
  </si>
  <si>
    <t>50629518</t>
  </si>
  <si>
    <t>王銘銘</t>
  </si>
  <si>
    <t>50629569</t>
  </si>
  <si>
    <t>9787506295697</t>
  </si>
  <si>
    <t>楊念群</t>
  </si>
  <si>
    <t>50629594</t>
  </si>
  <si>
    <t>格桑澤人</t>
  </si>
  <si>
    <t>50629725</t>
  </si>
  <si>
    <t>9787506297257</t>
  </si>
  <si>
    <t>蘇州管理處和綠化管理處</t>
  </si>
  <si>
    <t>50629726</t>
  </si>
  <si>
    <t>9787506297264</t>
  </si>
  <si>
    <t>朱南平</t>
  </si>
  <si>
    <t>上海世界</t>
  </si>
  <si>
    <t>50633845</t>
  </si>
  <si>
    <t>7506338459</t>
  </si>
  <si>
    <t>作家</t>
  </si>
  <si>
    <t>50633846</t>
  </si>
  <si>
    <t>7506338467</t>
  </si>
  <si>
    <t>格非</t>
  </si>
  <si>
    <t>50634573</t>
  </si>
  <si>
    <t>9787506345736</t>
  </si>
  <si>
    <t>熊召政</t>
  </si>
  <si>
    <t>50635290</t>
  </si>
  <si>
    <t>9787506352901</t>
  </si>
  <si>
    <t>嚴歌苓</t>
  </si>
  <si>
    <t>50643338</t>
  </si>
  <si>
    <t>7506433389</t>
  </si>
  <si>
    <t>尤珈</t>
  </si>
  <si>
    <t>50643622</t>
  </si>
  <si>
    <t>7506436221</t>
  </si>
  <si>
    <t>肉食養生</t>
  </si>
  <si>
    <t>王其勝</t>
  </si>
  <si>
    <t>中國紡織</t>
  </si>
  <si>
    <t>50643625</t>
  </si>
  <si>
    <t>7506436256</t>
  </si>
  <si>
    <t>蛋品養生</t>
  </si>
  <si>
    <t>50663465</t>
  </si>
  <si>
    <t>9787506634653</t>
  </si>
  <si>
    <t>中國書店</t>
  </si>
  <si>
    <t>50681433</t>
  </si>
  <si>
    <t>7506814331</t>
  </si>
  <si>
    <t>胡懷琛著</t>
  </si>
  <si>
    <t>中國書籍</t>
  </si>
  <si>
    <t>50681866</t>
  </si>
  <si>
    <t>9787506818667</t>
  </si>
  <si>
    <t>郭燦金</t>
  </si>
  <si>
    <t>50751863</t>
  </si>
  <si>
    <t>7507518639</t>
  </si>
  <si>
    <t>周冰心</t>
  </si>
  <si>
    <t>華文</t>
  </si>
  <si>
    <t>50752290</t>
  </si>
  <si>
    <t>9787507522907</t>
  </si>
  <si>
    <t>夢三生</t>
  </si>
  <si>
    <t>50752691</t>
  </si>
  <si>
    <t>9787507526912</t>
  </si>
  <si>
    <t>魏新</t>
  </si>
  <si>
    <t>50752693</t>
  </si>
  <si>
    <t>9787507526936</t>
  </si>
  <si>
    <t>桔桔</t>
  </si>
  <si>
    <t>50771821</t>
  </si>
  <si>
    <t>9787507718218</t>
  </si>
  <si>
    <t>常人春</t>
  </si>
  <si>
    <t>學苑</t>
  </si>
  <si>
    <t>50772154</t>
  </si>
  <si>
    <t>750772154X</t>
  </si>
  <si>
    <t>丁元松</t>
  </si>
  <si>
    <t>50772901</t>
  </si>
  <si>
    <t>9787507729016</t>
  </si>
  <si>
    <t>劉航</t>
  </si>
  <si>
    <t>50772910</t>
  </si>
  <si>
    <t>9787507729108</t>
  </si>
  <si>
    <t>熊文華</t>
  </si>
  <si>
    <t>50772911</t>
  </si>
  <si>
    <t>9787507729115</t>
  </si>
  <si>
    <t>中國民俗學會，北京民俗博物館[編]</t>
  </si>
  <si>
    <t>50772930</t>
  </si>
  <si>
    <t>9787507729306</t>
  </si>
  <si>
    <t>龍頌江</t>
  </si>
  <si>
    <t>50772931</t>
  </si>
  <si>
    <t>9787507729313</t>
  </si>
  <si>
    <t>汪為勝</t>
  </si>
  <si>
    <t>50772960</t>
  </si>
  <si>
    <t>9787507729603</t>
  </si>
  <si>
    <t>劉陽</t>
  </si>
  <si>
    <t>50772996</t>
  </si>
  <si>
    <t>9787507729962</t>
  </si>
  <si>
    <t>肖佩華</t>
  </si>
  <si>
    <t>50773003</t>
  </si>
  <si>
    <t>9787507730036</t>
  </si>
  <si>
    <t>楊仲文</t>
  </si>
  <si>
    <t>50773020</t>
  </si>
  <si>
    <t>9787507730203</t>
  </si>
  <si>
    <t>岡大路著</t>
  </si>
  <si>
    <t>50773272</t>
  </si>
  <si>
    <t>9787507732726</t>
  </si>
  <si>
    <t>王麗陽</t>
  </si>
  <si>
    <t>50773306</t>
  </si>
  <si>
    <t>9787507733068</t>
  </si>
  <si>
    <t>徐征</t>
  </si>
  <si>
    <t>50773347</t>
  </si>
  <si>
    <t>9787507733471</t>
  </si>
  <si>
    <t>50773358</t>
  </si>
  <si>
    <t>9787507733587</t>
  </si>
  <si>
    <t>徐安琪</t>
  </si>
  <si>
    <t>50773460</t>
  </si>
  <si>
    <t>9787507734607</t>
  </si>
  <si>
    <t>焦晉林. 著</t>
  </si>
  <si>
    <t>50782773</t>
  </si>
  <si>
    <t>9787507827736</t>
  </si>
  <si>
    <t>夏家餕著</t>
  </si>
  <si>
    <t>國際廣播</t>
  </si>
  <si>
    <t>50782793</t>
  </si>
  <si>
    <t>9787507827934</t>
  </si>
  <si>
    <t>金性堯</t>
  </si>
  <si>
    <t>50782795</t>
  </si>
  <si>
    <t>9787507827958</t>
  </si>
  <si>
    <t>50782856</t>
  </si>
  <si>
    <t>9787507828566</t>
  </si>
  <si>
    <t>趙秉崑、李桂芝編著</t>
  </si>
  <si>
    <t>50782861</t>
  </si>
  <si>
    <t>9787507828610</t>
  </si>
  <si>
    <t>楊伯峻</t>
  </si>
  <si>
    <t>50782862</t>
  </si>
  <si>
    <t>9787507828627</t>
  </si>
  <si>
    <t>水渭松</t>
  </si>
  <si>
    <t>50782909</t>
  </si>
  <si>
    <t>9787507829099</t>
  </si>
  <si>
    <t>趙儷生著</t>
  </si>
  <si>
    <t>50782911</t>
  </si>
  <si>
    <t>9787507829112</t>
  </si>
  <si>
    <t>王瑞明、張全明著</t>
  </si>
  <si>
    <t>50783003</t>
  </si>
  <si>
    <t>9787507830033</t>
  </si>
  <si>
    <t>錢伯城編著</t>
  </si>
  <si>
    <t>50783005</t>
  </si>
  <si>
    <t>9787507830057</t>
  </si>
  <si>
    <t>施紹文、沈樹華編著</t>
  </si>
  <si>
    <t>50783008</t>
  </si>
  <si>
    <t>9787507830088</t>
  </si>
  <si>
    <t>潘吉星編著</t>
  </si>
  <si>
    <t>50783012</t>
  </si>
  <si>
    <t>9787507830125</t>
  </si>
  <si>
    <t>張覺編著</t>
  </si>
  <si>
    <t>50783013</t>
  </si>
  <si>
    <t>9787507830132</t>
  </si>
  <si>
    <t>50783019</t>
  </si>
  <si>
    <t>9787507830194</t>
  </si>
  <si>
    <t>50783143</t>
  </si>
  <si>
    <t>9787507831436</t>
  </si>
  <si>
    <t>趙翰生</t>
  </si>
  <si>
    <t>50783156</t>
  </si>
  <si>
    <t>9787507831566</t>
  </si>
  <si>
    <t>胡曉明</t>
  </si>
  <si>
    <t>50783175</t>
  </si>
  <si>
    <t>9787507831757</t>
  </si>
  <si>
    <t>50783188</t>
  </si>
  <si>
    <t>9787507831887</t>
  </si>
  <si>
    <t>顏長河</t>
  </si>
  <si>
    <t>50783192</t>
  </si>
  <si>
    <t>9787507831924</t>
  </si>
  <si>
    <t>王良範</t>
  </si>
  <si>
    <t>50783203</t>
  </si>
  <si>
    <t>9787507832037</t>
  </si>
  <si>
    <t>孫建民</t>
  </si>
  <si>
    <t>50783206</t>
  </si>
  <si>
    <t>9787507832068</t>
  </si>
  <si>
    <t>王宏凱</t>
  </si>
  <si>
    <t>50783226</t>
  </si>
  <si>
    <t>9787507832266</t>
  </si>
  <si>
    <t>50783229</t>
  </si>
  <si>
    <t>9787507832297</t>
  </si>
  <si>
    <t>潘偉斌. 著</t>
  </si>
  <si>
    <t>50783277</t>
  </si>
  <si>
    <t>9787507832778</t>
  </si>
  <si>
    <t>周傳家</t>
  </si>
  <si>
    <t>50783284</t>
  </si>
  <si>
    <t>9787507832846</t>
  </si>
  <si>
    <t>50783305</t>
  </si>
  <si>
    <t>9787507833058</t>
  </si>
  <si>
    <t>何滿子</t>
  </si>
  <si>
    <t>50783338</t>
  </si>
  <si>
    <t>9787507833386</t>
  </si>
  <si>
    <t>50783346</t>
  </si>
  <si>
    <t>9787507833461</t>
  </si>
  <si>
    <t>任海</t>
  </si>
  <si>
    <t>50805690</t>
  </si>
  <si>
    <t>9787508056906</t>
  </si>
  <si>
    <t>劉恩銘. 著</t>
  </si>
  <si>
    <t>華夏</t>
  </si>
  <si>
    <t>50805865</t>
  </si>
  <si>
    <t>9787508058658</t>
  </si>
  <si>
    <t>50805953</t>
  </si>
  <si>
    <t>9787508059532</t>
  </si>
  <si>
    <t>東雄</t>
  </si>
  <si>
    <t>50805959</t>
  </si>
  <si>
    <t>9787508059594</t>
  </si>
  <si>
    <t>50806090</t>
  </si>
  <si>
    <t>9787508060903</t>
  </si>
  <si>
    <t>50836403</t>
  </si>
  <si>
    <t>9787508364032</t>
  </si>
  <si>
    <t>祝帥</t>
  </si>
  <si>
    <t>中國電力</t>
  </si>
  <si>
    <t>50845671</t>
  </si>
  <si>
    <t>9787508456713</t>
  </si>
  <si>
    <t>朱淨宇著</t>
  </si>
  <si>
    <t>水利水電</t>
  </si>
  <si>
    <t>50847836</t>
  </si>
  <si>
    <t>9787508478364</t>
  </si>
  <si>
    <t>宮曙光</t>
  </si>
  <si>
    <t>50847839</t>
  </si>
  <si>
    <t>9787508478395</t>
  </si>
  <si>
    <t>50847858</t>
  </si>
  <si>
    <t>9787508478586</t>
  </si>
  <si>
    <t>50850542</t>
  </si>
  <si>
    <t>7508505425</t>
  </si>
  <si>
    <t>靳之林</t>
  </si>
  <si>
    <t>五洲傳播</t>
  </si>
  <si>
    <t>50850807</t>
  </si>
  <si>
    <t>7508508076</t>
  </si>
  <si>
    <t>韋黎明 編著</t>
  </si>
  <si>
    <t>50850962</t>
  </si>
  <si>
    <t>7508509625</t>
  </si>
  <si>
    <t>杭間</t>
  </si>
  <si>
    <t>50860940</t>
  </si>
  <si>
    <t>9787508609409</t>
  </si>
  <si>
    <t>王充閭</t>
  </si>
  <si>
    <t>中信</t>
  </si>
  <si>
    <t>50860999</t>
  </si>
  <si>
    <t>9787508609997</t>
  </si>
  <si>
    <t>謝軍</t>
  </si>
  <si>
    <t>50862273</t>
  </si>
  <si>
    <t>9787508622736</t>
  </si>
  <si>
    <t>(韓) 南仁淑. 著</t>
  </si>
  <si>
    <t>50871042</t>
  </si>
  <si>
    <t>7508710428</t>
  </si>
  <si>
    <t>白霞</t>
  </si>
  <si>
    <t>中國社會</t>
  </si>
  <si>
    <t>50871468</t>
  </si>
  <si>
    <t>7508714687</t>
  </si>
  <si>
    <t>王海霞</t>
  </si>
  <si>
    <t>50872386</t>
  </si>
  <si>
    <t>9787508723860</t>
  </si>
  <si>
    <t>張志江</t>
  </si>
  <si>
    <t>50872454</t>
  </si>
  <si>
    <t>9787508724546</t>
  </si>
  <si>
    <t>李躍忠</t>
  </si>
  <si>
    <t>50872455</t>
  </si>
  <si>
    <t>9787508724553</t>
  </si>
  <si>
    <t>張振華</t>
  </si>
  <si>
    <t>50872469</t>
  </si>
  <si>
    <t>9787508724690</t>
  </si>
  <si>
    <t>許小主</t>
  </si>
  <si>
    <t>50872477</t>
  </si>
  <si>
    <t>9787508724775</t>
  </si>
  <si>
    <t>50872682</t>
  </si>
  <si>
    <t>9787508726823</t>
  </si>
  <si>
    <t>陳孝敬</t>
  </si>
  <si>
    <t>50900019</t>
  </si>
  <si>
    <t>750900019X</t>
  </si>
  <si>
    <t>宋連生</t>
  </si>
  <si>
    <t>當代世界</t>
  </si>
  <si>
    <t>50900021</t>
  </si>
  <si>
    <t>7509000211</t>
  </si>
  <si>
    <t>50910404</t>
  </si>
  <si>
    <t>7509104041</t>
  </si>
  <si>
    <t>沈衛</t>
  </si>
  <si>
    <t>人民軍醫</t>
  </si>
  <si>
    <t>50912651</t>
  </si>
  <si>
    <t>9787509126516</t>
  </si>
  <si>
    <t>李心天</t>
  </si>
  <si>
    <t>50920442</t>
  </si>
  <si>
    <t>9787509204429</t>
  </si>
  <si>
    <t>(英)安德森</t>
  </si>
  <si>
    <t>中國市場</t>
  </si>
  <si>
    <t>50970897</t>
  </si>
  <si>
    <t>9787509708972</t>
  </si>
  <si>
    <t>須藤瑞代</t>
  </si>
  <si>
    <t>社科文獻</t>
  </si>
  <si>
    <t>50971087</t>
  </si>
  <si>
    <t>9787509710876</t>
  </si>
  <si>
    <t>高光起著</t>
  </si>
  <si>
    <t>50971092</t>
  </si>
  <si>
    <t>9787509710920</t>
  </si>
  <si>
    <t>失落的文藝復興-中國近代文明的曙光</t>
  </si>
  <si>
    <t>盧興基</t>
  </si>
  <si>
    <t>社會科學文</t>
  </si>
  <si>
    <t>50971285</t>
  </si>
  <si>
    <t>9787509712856</t>
  </si>
  <si>
    <t>鄭大華</t>
  </si>
  <si>
    <t>50971337</t>
  </si>
  <si>
    <t>9787509713372</t>
  </si>
  <si>
    <t>聶鴻音. 孫伯君. 編</t>
  </si>
  <si>
    <t>50971362</t>
  </si>
  <si>
    <t>9787509713624</t>
  </si>
  <si>
    <t>曹榮湘</t>
  </si>
  <si>
    <t>50971430</t>
  </si>
  <si>
    <t>9787509714300</t>
  </si>
  <si>
    <t>徐金髮. 等著</t>
  </si>
  <si>
    <t>50971447</t>
  </si>
  <si>
    <t>9787509714478</t>
  </si>
  <si>
    <t>王斌. 著</t>
  </si>
  <si>
    <t>50971453</t>
  </si>
  <si>
    <t>9787509714539</t>
  </si>
  <si>
    <t>曹雯. 著</t>
  </si>
  <si>
    <t>50971472</t>
  </si>
  <si>
    <t>9787509714720</t>
  </si>
  <si>
    <t>曾少軍</t>
  </si>
  <si>
    <t>50971473</t>
  </si>
  <si>
    <t>9787509714737</t>
  </si>
  <si>
    <t>張煥波</t>
  </si>
  <si>
    <t>50971475</t>
  </si>
  <si>
    <t>9787509714751</t>
  </si>
  <si>
    <t>回望一甲子-近代史研究所老專家訪談及回憶</t>
  </si>
  <si>
    <t>中國社會科學院近代史研究所. 編</t>
  </si>
  <si>
    <t>50971489</t>
  </si>
  <si>
    <t>9787509714898</t>
  </si>
  <si>
    <t>左學金</t>
  </si>
  <si>
    <t>50971495</t>
  </si>
  <si>
    <t>9787509714959</t>
  </si>
  <si>
    <t>肖安民. 主編</t>
  </si>
  <si>
    <t>50971508</t>
  </si>
  <si>
    <t>9787509715086</t>
  </si>
  <si>
    <t>蔡俊生. 著</t>
  </si>
  <si>
    <t>50971532</t>
  </si>
  <si>
    <t>9787509715321</t>
  </si>
  <si>
    <t>王紅旗. 主編</t>
  </si>
  <si>
    <t>50971548</t>
  </si>
  <si>
    <t>9787509715482</t>
  </si>
  <si>
    <t>楊柳</t>
  </si>
  <si>
    <t>50971582</t>
  </si>
  <si>
    <t>9787509715826</t>
  </si>
  <si>
    <t>石英. 主編</t>
  </si>
  <si>
    <t>50971597</t>
  </si>
  <si>
    <t>9787509715970</t>
  </si>
  <si>
    <t>倪鵬飛. (美) 克拉索. 主編</t>
  </si>
  <si>
    <t>50972367</t>
  </si>
  <si>
    <t>9787509723678</t>
  </si>
  <si>
    <t>馮江峰著</t>
  </si>
  <si>
    <t>50972456</t>
  </si>
  <si>
    <t>9787509724569</t>
  </si>
  <si>
    <t>劉克祥</t>
  </si>
  <si>
    <t>50980522</t>
  </si>
  <si>
    <t>9787509805220</t>
  </si>
  <si>
    <t>北京電視臺衛視節目中心</t>
  </si>
  <si>
    <t>中共黨史</t>
  </si>
  <si>
    <t>50980589</t>
  </si>
  <si>
    <t>9787509805893</t>
  </si>
  <si>
    <t>齊鵬飛. 主編</t>
  </si>
  <si>
    <t>50980660</t>
  </si>
  <si>
    <t>9787509806609</t>
  </si>
  <si>
    <t>51001414</t>
  </si>
  <si>
    <t>9787510014147</t>
  </si>
  <si>
    <t>孫瑞雪</t>
  </si>
  <si>
    <t>51001798</t>
  </si>
  <si>
    <t>楊清媚</t>
  </si>
  <si>
    <t>北京世圖</t>
  </si>
  <si>
    <t>51001805</t>
  </si>
  <si>
    <t>9787510018053</t>
  </si>
  <si>
    <t>朝暉</t>
  </si>
  <si>
    <t>51001807</t>
  </si>
  <si>
    <t>51001808</t>
  </si>
  <si>
    <t>9787510018084</t>
  </si>
  <si>
    <t>張亞輝</t>
  </si>
  <si>
    <t>51001880</t>
  </si>
  <si>
    <t>9787510018800</t>
  </si>
  <si>
    <t>(美) 科恩. 著</t>
  </si>
  <si>
    <t>51003673</t>
  </si>
  <si>
    <t>9787510036736</t>
  </si>
  <si>
    <t>唐景椿</t>
  </si>
  <si>
    <t>51040306</t>
  </si>
  <si>
    <t>9787510403064</t>
  </si>
  <si>
    <t>李異鳴</t>
  </si>
  <si>
    <t>新世界</t>
  </si>
  <si>
    <t>51040687</t>
  </si>
  <si>
    <t>9787510406874</t>
  </si>
  <si>
    <t>孔子回答人生的108個感悟</t>
  </si>
  <si>
    <t>王爽</t>
  </si>
  <si>
    <t>51070100</t>
  </si>
  <si>
    <t>9787510701009</t>
  </si>
  <si>
    <t>中國長安</t>
  </si>
  <si>
    <t>51070110</t>
  </si>
  <si>
    <t>9787510701108</t>
  </si>
  <si>
    <t>51070163</t>
  </si>
  <si>
    <t>9787510701634</t>
  </si>
  <si>
    <t>王少農. 編著</t>
  </si>
  <si>
    <t>51100211</t>
  </si>
  <si>
    <t>9787511002112</t>
  </si>
  <si>
    <t>陳冬梅. 著</t>
  </si>
  <si>
    <t>海豚</t>
  </si>
  <si>
    <t>51100213</t>
  </si>
  <si>
    <t>9787511002136</t>
  </si>
  <si>
    <t>移然. 著</t>
  </si>
  <si>
    <t>51100214</t>
  </si>
  <si>
    <t>9787511002143</t>
  </si>
  <si>
    <t>甘穀. 著</t>
  </si>
  <si>
    <t>51100215</t>
  </si>
  <si>
    <t>9787511002150</t>
  </si>
  <si>
    <t>胡善恩. 著</t>
  </si>
  <si>
    <t>51100216</t>
  </si>
  <si>
    <t>9787511002167</t>
  </si>
  <si>
    <t>朱雲霞. 著</t>
  </si>
  <si>
    <t>51130121</t>
  </si>
  <si>
    <t>9787511301215</t>
  </si>
  <si>
    <t>清隱</t>
  </si>
  <si>
    <t>中國華僑</t>
  </si>
  <si>
    <t>51130328</t>
  </si>
  <si>
    <t>9787511303288</t>
  </si>
  <si>
    <t>朱曉翔. 著</t>
  </si>
  <si>
    <t>51130534</t>
  </si>
  <si>
    <t>9787511305343</t>
  </si>
  <si>
    <t>瀚海簫聲</t>
  </si>
  <si>
    <t>51170206</t>
  </si>
  <si>
    <t>9787511702067</t>
  </si>
  <si>
    <t>陳方猛</t>
  </si>
  <si>
    <t>中央編譯</t>
  </si>
  <si>
    <t>51170281</t>
  </si>
  <si>
    <t>9787511702814</t>
  </si>
  <si>
    <t>左懷建</t>
  </si>
  <si>
    <t>51300027</t>
  </si>
  <si>
    <t>9787513000277</t>
  </si>
  <si>
    <t>色音. 主編</t>
  </si>
  <si>
    <t>知識產權</t>
  </si>
  <si>
    <t>51490342</t>
  </si>
  <si>
    <t>9787514903423</t>
  </si>
  <si>
    <t>(清)陸廷燦</t>
  </si>
  <si>
    <t>53011682</t>
  </si>
  <si>
    <t>7530116827</t>
  </si>
  <si>
    <t>北京少兒</t>
  </si>
  <si>
    <t>53044280</t>
  </si>
  <si>
    <t>9787530442807</t>
  </si>
  <si>
    <t>北京科技</t>
  </si>
  <si>
    <t>53044470</t>
  </si>
  <si>
    <t>9787530444702</t>
  </si>
  <si>
    <t>（俄羅斯）屠格涅夫著</t>
  </si>
  <si>
    <t>53052551</t>
  </si>
  <si>
    <t>7530525514</t>
  </si>
  <si>
    <t>王其華</t>
  </si>
  <si>
    <t>天津人美</t>
  </si>
  <si>
    <t>53052622</t>
  </si>
  <si>
    <t>7530526227</t>
  </si>
  <si>
    <t>53052664</t>
  </si>
  <si>
    <t>7530526642</t>
  </si>
  <si>
    <t>于慶成</t>
  </si>
  <si>
    <t>53052682</t>
  </si>
  <si>
    <t>7530526820</t>
  </si>
  <si>
    <t>于文波</t>
  </si>
  <si>
    <t>53052682A</t>
  </si>
  <si>
    <t>53052682B</t>
  </si>
  <si>
    <t>章錦榮</t>
  </si>
  <si>
    <t>53052682C</t>
  </si>
  <si>
    <t>王嶽</t>
  </si>
  <si>
    <t>53052682D</t>
  </si>
  <si>
    <t>53052682E</t>
  </si>
  <si>
    <t>53052682F</t>
  </si>
  <si>
    <t>陳棟玲</t>
  </si>
  <si>
    <t>53052682G</t>
  </si>
  <si>
    <t>古棕</t>
  </si>
  <si>
    <t>53052683B</t>
  </si>
  <si>
    <t>7530526839</t>
  </si>
  <si>
    <t>王炳耀</t>
  </si>
  <si>
    <t>53052683C</t>
  </si>
  <si>
    <t>劉軍</t>
  </si>
  <si>
    <t>53052712</t>
  </si>
  <si>
    <t>7530527126</t>
  </si>
  <si>
    <t>任煥斌</t>
  </si>
  <si>
    <t>53052717</t>
  </si>
  <si>
    <t>7530527177</t>
  </si>
  <si>
    <t>劉成喻</t>
  </si>
  <si>
    <t>53052717A</t>
  </si>
  <si>
    <t>53052723</t>
  </si>
  <si>
    <t>7530527231</t>
  </si>
  <si>
    <t>賈憲明</t>
  </si>
  <si>
    <t>53052726</t>
  </si>
  <si>
    <t>7530527266</t>
  </si>
  <si>
    <t>張曉冬</t>
  </si>
  <si>
    <t>53052727</t>
  </si>
  <si>
    <t>7530527274</t>
  </si>
  <si>
    <t>吳昊</t>
  </si>
  <si>
    <t>53052732</t>
  </si>
  <si>
    <t>7530527320</t>
  </si>
  <si>
    <t>53052735</t>
  </si>
  <si>
    <t>7530527355</t>
  </si>
  <si>
    <t>李永</t>
  </si>
  <si>
    <t>53052739</t>
  </si>
  <si>
    <t>7530527398</t>
  </si>
  <si>
    <t>張浩達</t>
  </si>
  <si>
    <t>53052765</t>
  </si>
  <si>
    <t>7530527657</t>
  </si>
  <si>
    <t>周傑</t>
  </si>
  <si>
    <t>53052839</t>
  </si>
  <si>
    <t>7530528394</t>
  </si>
  <si>
    <t>張天翼</t>
  </si>
  <si>
    <t>53052863</t>
  </si>
  <si>
    <t>7530528637</t>
  </si>
  <si>
    <t>神聖威嚴的教堂</t>
  </si>
  <si>
    <t>馮煒烈</t>
  </si>
  <si>
    <t>53052871</t>
  </si>
  <si>
    <t>7530528718</t>
  </si>
  <si>
    <t>羅文華</t>
  </si>
  <si>
    <t>53052872</t>
  </si>
  <si>
    <t>7530528726</t>
  </si>
  <si>
    <t>53052974</t>
  </si>
  <si>
    <t>7530529749</t>
  </si>
  <si>
    <t>趙暉</t>
  </si>
  <si>
    <t>53052974A</t>
  </si>
  <si>
    <t>53053217</t>
  </si>
  <si>
    <t>9787530532170</t>
  </si>
  <si>
    <t>馮遠</t>
  </si>
  <si>
    <t>53053393</t>
  </si>
  <si>
    <t>7530533932</t>
  </si>
  <si>
    <t>艾秀琪</t>
  </si>
  <si>
    <t>53064100</t>
  </si>
  <si>
    <t>753064100X</t>
  </si>
  <si>
    <t>王世仁著</t>
  </si>
  <si>
    <t>53064519</t>
  </si>
  <si>
    <t>9787530645192</t>
  </si>
  <si>
    <t>莊裕光著</t>
  </si>
  <si>
    <t>百花文藝</t>
  </si>
  <si>
    <t>53064540</t>
  </si>
  <si>
    <t>7530645404</t>
  </si>
  <si>
    <t>阿萊</t>
  </si>
  <si>
    <t>53064644</t>
  </si>
  <si>
    <t>7530646443</t>
  </si>
  <si>
    <t>孫福海著</t>
  </si>
  <si>
    <t>53064684</t>
  </si>
  <si>
    <t>9787530646847</t>
  </si>
  <si>
    <t>王樹林</t>
  </si>
  <si>
    <t>53064950</t>
  </si>
  <si>
    <t>9787530649503</t>
  </si>
  <si>
    <t>樸月</t>
  </si>
  <si>
    <t>53065188</t>
  </si>
  <si>
    <t>9787530651889</t>
  </si>
  <si>
    <t>趙遵生</t>
  </si>
  <si>
    <t>53065204</t>
  </si>
  <si>
    <t>9787530652046</t>
  </si>
  <si>
    <t>範婉</t>
  </si>
  <si>
    <t>53065234</t>
  </si>
  <si>
    <t>9787530652343</t>
  </si>
  <si>
    <t>卉放等編</t>
  </si>
  <si>
    <t>53065313</t>
  </si>
  <si>
    <t>9787530653135</t>
  </si>
  <si>
    <t>林?</t>
  </si>
  <si>
    <t>53065350</t>
  </si>
  <si>
    <t>9787530653500</t>
  </si>
  <si>
    <t>53065354</t>
  </si>
  <si>
    <t>9787530653548</t>
  </si>
  <si>
    <t>53065541</t>
  </si>
  <si>
    <t>9787530655412</t>
  </si>
  <si>
    <t>53065587</t>
  </si>
  <si>
    <t>9787530655870</t>
  </si>
  <si>
    <t>李菀</t>
  </si>
  <si>
    <t>53065602</t>
  </si>
  <si>
    <t>9787530656020</t>
  </si>
  <si>
    <t>王增陵</t>
  </si>
  <si>
    <t>53095165</t>
  </si>
  <si>
    <t>9787530951651</t>
  </si>
  <si>
    <t>袁世碩</t>
  </si>
  <si>
    <t>天津教育</t>
  </si>
  <si>
    <t>53095201</t>
  </si>
  <si>
    <t>9787530952016</t>
  </si>
  <si>
    <t>鴻雁</t>
  </si>
  <si>
    <t>53133662</t>
  </si>
  <si>
    <t>9787531336624</t>
  </si>
  <si>
    <t>王妍丁</t>
  </si>
  <si>
    <t>春風文藝</t>
  </si>
  <si>
    <t>53133802</t>
  </si>
  <si>
    <t>9787531338024</t>
  </si>
  <si>
    <t>語笑嫣然. 著</t>
  </si>
  <si>
    <t>53172184</t>
  </si>
  <si>
    <t>9787531721840</t>
  </si>
  <si>
    <t>玉晚樓</t>
  </si>
  <si>
    <t>北方文藝</t>
  </si>
  <si>
    <t>53182390B</t>
  </si>
  <si>
    <t>9787531823902</t>
  </si>
  <si>
    <t>魏文源. 編</t>
  </si>
  <si>
    <t>黑美術</t>
  </si>
  <si>
    <t>53212903</t>
  </si>
  <si>
    <t>7532129039</t>
  </si>
  <si>
    <t>劉迪</t>
  </si>
  <si>
    <t>上海文藝</t>
  </si>
  <si>
    <t>53213136</t>
  </si>
  <si>
    <t>9787532131365</t>
  </si>
  <si>
    <t>宋浩浩</t>
  </si>
  <si>
    <t>53213149</t>
  </si>
  <si>
    <t>7532131491</t>
  </si>
  <si>
    <t>木童</t>
  </si>
  <si>
    <t>53213216</t>
  </si>
  <si>
    <t>7532132161</t>
  </si>
  <si>
    <t>[法]米雪爾·卡娜</t>
  </si>
  <si>
    <t>53213707</t>
  </si>
  <si>
    <t>9787532137077</t>
  </si>
  <si>
    <t>馮苓植. 著</t>
  </si>
  <si>
    <t>53214669</t>
  </si>
  <si>
    <t>9787532146697</t>
  </si>
  <si>
    <t>祝君波</t>
  </si>
  <si>
    <t>53224428</t>
  </si>
  <si>
    <t>7532244288</t>
  </si>
  <si>
    <t>崔生國</t>
  </si>
  <si>
    <t>上海人美</t>
  </si>
  <si>
    <t>53225618</t>
  </si>
  <si>
    <t>9787532256181</t>
  </si>
  <si>
    <t>夏燕靖</t>
  </si>
  <si>
    <t>53226777</t>
  </si>
  <si>
    <t>9787532267774</t>
  </si>
  <si>
    <t>53238148</t>
  </si>
  <si>
    <t>753238148X</t>
  </si>
  <si>
    <t>上海科教</t>
  </si>
  <si>
    <t>53238303</t>
  </si>
  <si>
    <t>7532383032</t>
  </si>
  <si>
    <t>許添鳳</t>
  </si>
  <si>
    <t>53239698</t>
  </si>
  <si>
    <t>7532396986</t>
  </si>
  <si>
    <t>上海科技</t>
  </si>
  <si>
    <t>53239699</t>
  </si>
  <si>
    <t>7532396993</t>
  </si>
  <si>
    <t>53239764</t>
  </si>
  <si>
    <t>9787532397648</t>
  </si>
  <si>
    <t>何任</t>
  </si>
  <si>
    <t>53252467</t>
  </si>
  <si>
    <t>9787532524679</t>
  </si>
  <si>
    <t>曹明綱</t>
  </si>
  <si>
    <t>上海古籍</t>
  </si>
  <si>
    <t>53252715</t>
  </si>
  <si>
    <t>7532527158</t>
  </si>
  <si>
    <t>傅成 校點</t>
  </si>
  <si>
    <t>53252933</t>
  </si>
  <si>
    <t>7532529339</t>
  </si>
  <si>
    <t>王小鷹</t>
  </si>
  <si>
    <t>53253782</t>
  </si>
  <si>
    <t>753253782X</t>
  </si>
  <si>
    <t>名家蟋蟀經</t>
  </si>
  <si>
    <t>黃淵青.俞偉理</t>
  </si>
  <si>
    <t>53253875</t>
  </si>
  <si>
    <t>7532538753</t>
  </si>
  <si>
    <t>劉明今</t>
  </si>
  <si>
    <t>53253960</t>
  </si>
  <si>
    <t>7532539601</t>
  </si>
  <si>
    <t>胡傳志</t>
  </si>
  <si>
    <t>53254017</t>
  </si>
  <si>
    <t>7532540170</t>
  </si>
  <si>
    <t>李妙根</t>
  </si>
  <si>
    <t>53254034</t>
  </si>
  <si>
    <t>7532540340</t>
  </si>
  <si>
    <t>王曉玉</t>
  </si>
  <si>
    <t>53254069</t>
  </si>
  <si>
    <t>7532540693</t>
  </si>
  <si>
    <t>李熾昌</t>
  </si>
  <si>
    <t>53254267</t>
  </si>
  <si>
    <t>753254267X</t>
  </si>
  <si>
    <t>高瑞泉</t>
  </si>
  <si>
    <t>53254290</t>
  </si>
  <si>
    <t>7532542904</t>
  </si>
  <si>
    <t>傅為群</t>
  </si>
  <si>
    <t>53254361</t>
  </si>
  <si>
    <t>7532543617</t>
  </si>
  <si>
    <t>劉正剛</t>
  </si>
  <si>
    <t>53254387</t>
  </si>
  <si>
    <t>9787532543878</t>
  </si>
  <si>
    <t>(清)潘祖蔭</t>
  </si>
  <si>
    <t>53254605</t>
  </si>
  <si>
    <t>7532546055</t>
  </si>
  <si>
    <t>韓維志</t>
  </si>
  <si>
    <t>53254701</t>
  </si>
  <si>
    <t>9787532547012</t>
  </si>
  <si>
    <t>林繼中</t>
  </si>
  <si>
    <t>53254779</t>
  </si>
  <si>
    <t>9787532547791</t>
  </si>
  <si>
    <t>王肇</t>
  </si>
  <si>
    <t>53254920</t>
  </si>
  <si>
    <t>9787532549207</t>
  </si>
  <si>
    <t>章國慶</t>
  </si>
  <si>
    <t>53254928</t>
  </si>
  <si>
    <t>9787532549283</t>
  </si>
  <si>
    <t>閔豐</t>
  </si>
  <si>
    <t>53254939</t>
  </si>
  <si>
    <t>9787532549399</t>
  </si>
  <si>
    <t>沙先一</t>
  </si>
  <si>
    <t>53254943</t>
  </si>
  <si>
    <t>9787532549436</t>
  </si>
  <si>
    <t>程水龍</t>
  </si>
  <si>
    <t>53254957</t>
  </si>
  <si>
    <t>9787532549573</t>
  </si>
  <si>
    <t>趙昌平</t>
  </si>
  <si>
    <t>53254958</t>
  </si>
  <si>
    <t>9787532549580</t>
  </si>
  <si>
    <t>馮紹霆</t>
  </si>
  <si>
    <t>53254960</t>
  </si>
  <si>
    <t>9787532549603</t>
  </si>
  <si>
    <t>王興康</t>
  </si>
  <si>
    <t>53255018</t>
  </si>
  <si>
    <t>9787532550180</t>
  </si>
  <si>
    <t>夢寒生</t>
  </si>
  <si>
    <t>53255085</t>
  </si>
  <si>
    <t>9787532550852</t>
  </si>
  <si>
    <t>李丹</t>
  </si>
  <si>
    <t>53255091</t>
  </si>
  <si>
    <t>9787532550913</t>
  </si>
  <si>
    <t>焦桂美</t>
  </si>
  <si>
    <t>53255114</t>
  </si>
  <si>
    <t>9787532551149</t>
  </si>
  <si>
    <t>陳野</t>
  </si>
  <si>
    <t>53255118</t>
  </si>
  <si>
    <t>9787532551187</t>
  </si>
  <si>
    <t>徐宏圖著</t>
  </si>
  <si>
    <t>53255298</t>
  </si>
  <si>
    <t>9787532552986</t>
  </si>
  <si>
    <t>孫啟治</t>
  </si>
  <si>
    <t>53255305</t>
  </si>
  <si>
    <t>9787532553051</t>
  </si>
  <si>
    <t>餘意</t>
  </si>
  <si>
    <t>53255372</t>
  </si>
  <si>
    <t>9787532553723</t>
  </si>
  <si>
    <t>孫虹</t>
  </si>
  <si>
    <t>53255383</t>
  </si>
  <si>
    <t>9787532553839</t>
  </si>
  <si>
    <t>鍾鳴旦</t>
  </si>
  <si>
    <t>53255399</t>
  </si>
  <si>
    <t>9787532553990</t>
  </si>
  <si>
    <t>張覺</t>
  </si>
  <si>
    <t>53255405</t>
  </si>
  <si>
    <t>7532554058</t>
  </si>
  <si>
    <t>李志名</t>
  </si>
  <si>
    <t>53255412</t>
  </si>
  <si>
    <t>9787532554126</t>
  </si>
  <si>
    <t>武漢大學簡帛研究中心</t>
  </si>
  <si>
    <t>53255441</t>
  </si>
  <si>
    <t>9787532554416</t>
  </si>
  <si>
    <t>楊明. 著</t>
  </si>
  <si>
    <t>53255512</t>
  </si>
  <si>
    <t>9787532555123</t>
  </si>
  <si>
    <t>陳多</t>
  </si>
  <si>
    <t>53255537</t>
  </si>
  <si>
    <t>9787532555376</t>
  </si>
  <si>
    <t>弋春源著</t>
  </si>
  <si>
    <t>53255544</t>
  </si>
  <si>
    <t>9787532555444</t>
  </si>
  <si>
    <t>王煒. 著</t>
  </si>
  <si>
    <t>53255582</t>
  </si>
  <si>
    <t>9787532555826</t>
  </si>
  <si>
    <t>孫國棟撰</t>
  </si>
  <si>
    <t>53255616</t>
  </si>
  <si>
    <t>9787532556168</t>
  </si>
  <si>
    <t>邵毅平</t>
  </si>
  <si>
    <t>53255687</t>
  </si>
  <si>
    <t>9787532556878</t>
  </si>
  <si>
    <t>楊建華著</t>
  </si>
  <si>
    <t>53256056</t>
  </si>
  <si>
    <t>9787532560561</t>
  </si>
  <si>
    <t>馮沅君</t>
  </si>
  <si>
    <t>53262199</t>
  </si>
  <si>
    <t>7532621996</t>
  </si>
  <si>
    <t>邢建榕</t>
  </si>
  <si>
    <t>上海辭書</t>
  </si>
  <si>
    <t>53262897</t>
  </si>
  <si>
    <t>9787532628971</t>
  </si>
  <si>
    <t>鄧球柏</t>
  </si>
  <si>
    <t>53263017</t>
  </si>
  <si>
    <t>9787532630172</t>
  </si>
  <si>
    <t>梁志偉</t>
  </si>
  <si>
    <t>53263158</t>
  </si>
  <si>
    <t>9787532631582</t>
  </si>
  <si>
    <t>朱貽庭</t>
  </si>
  <si>
    <t>53273738</t>
  </si>
  <si>
    <t>7532737381</t>
  </si>
  <si>
    <t>謝昭新</t>
  </si>
  <si>
    <t>53273739</t>
  </si>
  <si>
    <t>沈伯俊</t>
  </si>
  <si>
    <t>53273740</t>
  </si>
  <si>
    <t>7532737403</t>
  </si>
  <si>
    <t>53274865</t>
  </si>
  <si>
    <t>9787532748655</t>
  </si>
  <si>
    <t>克羅斯</t>
  </si>
  <si>
    <t>53274880</t>
  </si>
  <si>
    <t>9787532748808</t>
  </si>
  <si>
    <t>佩特裏納</t>
  </si>
  <si>
    <t>53286800</t>
  </si>
  <si>
    <t>9787532868001</t>
  </si>
  <si>
    <t>施忠連</t>
  </si>
  <si>
    <t>山東教育</t>
  </si>
  <si>
    <t>53286802</t>
  </si>
  <si>
    <t>9787532868025</t>
  </si>
  <si>
    <t>喬清舉</t>
  </si>
  <si>
    <t>53286803</t>
  </si>
  <si>
    <t>9787532868032</t>
  </si>
  <si>
    <t>余榮根</t>
  </si>
  <si>
    <t>53286804</t>
  </si>
  <si>
    <t>9787532868049</t>
  </si>
  <si>
    <t>郭齊家</t>
  </si>
  <si>
    <t>53286805</t>
  </si>
  <si>
    <t>9787532868056</t>
  </si>
  <si>
    <t>林存光 侯長安</t>
  </si>
  <si>
    <t>53301990</t>
  </si>
  <si>
    <t>7533019903</t>
  </si>
  <si>
    <t>山東美術</t>
  </si>
  <si>
    <t>53302012</t>
  </si>
  <si>
    <t>753302012X</t>
  </si>
  <si>
    <t>俞瑩</t>
  </si>
  <si>
    <t>53302119</t>
  </si>
  <si>
    <t>7533021193</t>
  </si>
  <si>
    <t>53302120</t>
  </si>
  <si>
    <t>7533021207</t>
  </si>
  <si>
    <t>53303110</t>
  </si>
  <si>
    <t>9787533031107</t>
  </si>
  <si>
    <t>張從軍</t>
  </si>
  <si>
    <t>53326345</t>
  </si>
  <si>
    <t>9787533263454</t>
  </si>
  <si>
    <t>周銳. 著</t>
  </si>
  <si>
    <t>山東明天</t>
  </si>
  <si>
    <t>53326346</t>
  </si>
  <si>
    <t>9787533263461</t>
  </si>
  <si>
    <t>53330926A</t>
  </si>
  <si>
    <t>9787533309268</t>
  </si>
  <si>
    <t>白潔 藺開慶</t>
  </si>
  <si>
    <t>齊魯</t>
  </si>
  <si>
    <t>53330926B</t>
  </si>
  <si>
    <t>王秀亮</t>
  </si>
  <si>
    <t>53330926C</t>
  </si>
  <si>
    <t>李鋒</t>
  </si>
  <si>
    <t>53330926D</t>
  </si>
  <si>
    <t>王榮敏 劉德寶</t>
  </si>
  <si>
    <t>53330926E</t>
  </si>
  <si>
    <t>趙曉明 王聿發</t>
  </si>
  <si>
    <t>53330926F</t>
  </si>
  <si>
    <t>李永敏</t>
  </si>
  <si>
    <t>53331181</t>
  </si>
  <si>
    <t>7533311817</t>
  </si>
  <si>
    <t>齊魯書社</t>
  </si>
  <si>
    <t>53331417</t>
  </si>
  <si>
    <t>9787533314170</t>
  </si>
  <si>
    <t>田川流</t>
  </si>
  <si>
    <t>53331474</t>
  </si>
  <si>
    <t>9787533314743</t>
  </si>
  <si>
    <t>吳楓</t>
  </si>
  <si>
    <t>53331652</t>
  </si>
  <si>
    <t>7533316525</t>
  </si>
  <si>
    <t>周志雄</t>
  </si>
  <si>
    <t>53331682</t>
  </si>
  <si>
    <t>7533316827</t>
  </si>
  <si>
    <t>李冬紅</t>
  </si>
  <si>
    <t>53331759</t>
  </si>
  <si>
    <t>7533317599</t>
  </si>
  <si>
    <t>呂周聚</t>
  </si>
  <si>
    <t>53331863</t>
  </si>
  <si>
    <t>9787533318635</t>
  </si>
  <si>
    <t>盛志梅</t>
  </si>
  <si>
    <t>53332092</t>
  </si>
  <si>
    <t>9787533320928</t>
  </si>
  <si>
    <t>周遠斌</t>
  </si>
  <si>
    <t>53332111</t>
  </si>
  <si>
    <t>9787533321116</t>
  </si>
  <si>
    <t>張忠綱、趙睿才</t>
  </si>
  <si>
    <t>53332119</t>
  </si>
  <si>
    <t>9787533321192</t>
  </si>
  <si>
    <t>劉翔</t>
  </si>
  <si>
    <t>53332121</t>
  </si>
  <si>
    <t>9787533321215</t>
  </si>
  <si>
    <t>潘定武</t>
  </si>
  <si>
    <t>53332122</t>
  </si>
  <si>
    <t>9787533321222</t>
  </si>
  <si>
    <t>[清] 蒲松齡</t>
  </si>
  <si>
    <t>53332129</t>
  </si>
  <si>
    <t>9787533321291</t>
  </si>
  <si>
    <t>餘同元</t>
  </si>
  <si>
    <t>53332140</t>
  </si>
  <si>
    <t>9787533321406</t>
  </si>
  <si>
    <t>池萬興</t>
  </si>
  <si>
    <t>53332145</t>
  </si>
  <si>
    <t>9787533321451</t>
  </si>
  <si>
    <t>杜貴晨</t>
  </si>
  <si>
    <t>53332146</t>
  </si>
  <si>
    <t>9787533321468</t>
  </si>
  <si>
    <t>王琳</t>
  </si>
  <si>
    <t>53332147</t>
  </si>
  <si>
    <t>9787533321475</t>
  </si>
  <si>
    <t>王恒展</t>
  </si>
  <si>
    <t>53332149</t>
  </si>
  <si>
    <t>9787533321499</t>
  </si>
  <si>
    <t>李兆祿</t>
  </si>
  <si>
    <t>53332150</t>
  </si>
  <si>
    <t>9787533321505</t>
  </si>
  <si>
    <t>徐文君</t>
  </si>
  <si>
    <t>53332157</t>
  </si>
  <si>
    <t>9787533321574</t>
  </si>
  <si>
    <t>王健</t>
  </si>
  <si>
    <t>53332165</t>
  </si>
  <si>
    <t>9787533321659</t>
  </si>
  <si>
    <t>靳永</t>
  </si>
  <si>
    <t>53332166</t>
  </si>
  <si>
    <t>9787533321666</t>
  </si>
  <si>
    <t>薑寶昌</t>
  </si>
  <si>
    <t>53332169</t>
  </si>
  <si>
    <t>9787533321697</t>
  </si>
  <si>
    <t>趙蔚芝</t>
  </si>
  <si>
    <t>53332175</t>
  </si>
  <si>
    <t>9787533321758</t>
  </si>
  <si>
    <t>顏之推</t>
  </si>
  <si>
    <t>53332198</t>
  </si>
  <si>
    <t>9787533321987</t>
  </si>
  <si>
    <t>劉衛東</t>
  </si>
  <si>
    <t>53332239</t>
  </si>
  <si>
    <t>9787533322397</t>
  </si>
  <si>
    <t>張桂林</t>
  </si>
  <si>
    <t>53332242</t>
  </si>
  <si>
    <t>9787533322427</t>
  </si>
  <si>
    <t>楊恩玉</t>
  </si>
  <si>
    <t>53332246</t>
  </si>
  <si>
    <t>9787533322465</t>
  </si>
  <si>
    <t>鄭明璋</t>
  </si>
  <si>
    <t>53332251</t>
  </si>
  <si>
    <t>9787533322519</t>
  </si>
  <si>
    <t>齊廉允</t>
  </si>
  <si>
    <t>53332256</t>
  </si>
  <si>
    <t>9787533322564</t>
  </si>
  <si>
    <t>範麗敏</t>
  </si>
  <si>
    <t>53332257</t>
  </si>
  <si>
    <t>9787533322571</t>
  </si>
  <si>
    <t>孟祥才</t>
  </si>
  <si>
    <t>53332264</t>
  </si>
  <si>
    <t>9787533322649</t>
  </si>
  <si>
    <t>潘守皎</t>
  </si>
  <si>
    <t>53332279</t>
  </si>
  <si>
    <t>9787533322793</t>
  </si>
  <si>
    <t>王漢衛</t>
  </si>
  <si>
    <t>53332280</t>
  </si>
  <si>
    <t>9787533322809</t>
  </si>
  <si>
    <t>趙樹廷</t>
  </si>
  <si>
    <t>53332283</t>
  </si>
  <si>
    <t>9787533322830</t>
  </si>
  <si>
    <t>範學輝</t>
  </si>
  <si>
    <t>53332298</t>
  </si>
  <si>
    <t>9787533322984</t>
  </si>
  <si>
    <t>張同勝</t>
  </si>
  <si>
    <t>53332340</t>
  </si>
  <si>
    <t>9787533323400</t>
  </si>
  <si>
    <t>（日）麥穀邦夫.（日）吉川忠夫著</t>
  </si>
  <si>
    <t>53332385</t>
  </si>
  <si>
    <t>9787533323851</t>
  </si>
  <si>
    <t>李峻岫</t>
  </si>
  <si>
    <t>53332400</t>
  </si>
  <si>
    <t>9787533324001</t>
  </si>
  <si>
    <t>徐鑫</t>
  </si>
  <si>
    <t>53345183</t>
  </si>
  <si>
    <t>9787533451837</t>
  </si>
  <si>
    <t>張清華著</t>
  </si>
  <si>
    <t>福建教育</t>
  </si>
  <si>
    <t>53345234</t>
  </si>
  <si>
    <t>9787533452346</t>
  </si>
  <si>
    <t>歐陽軍喜</t>
  </si>
  <si>
    <t>53352036</t>
  </si>
  <si>
    <t>753352036X</t>
  </si>
  <si>
    <t>彭長榮</t>
  </si>
  <si>
    <t>福建科技</t>
  </si>
  <si>
    <t>53364309</t>
  </si>
  <si>
    <t>7533643097</t>
  </si>
  <si>
    <t>吳新雷</t>
  </si>
  <si>
    <t>53364359</t>
  </si>
  <si>
    <t>7533643593</t>
  </si>
  <si>
    <t>孫郁</t>
  </si>
  <si>
    <t>安徽教育</t>
  </si>
  <si>
    <t>53365130</t>
  </si>
  <si>
    <t>9787533651305</t>
  </si>
  <si>
    <t>李濤</t>
  </si>
  <si>
    <t>53392677</t>
  </si>
  <si>
    <t>9787533926779</t>
  </si>
  <si>
    <t>劉茂銀著</t>
  </si>
  <si>
    <t>浙江文藝</t>
  </si>
  <si>
    <t>53411457</t>
  </si>
  <si>
    <t>7534114578</t>
  </si>
  <si>
    <t>汪梅</t>
  </si>
  <si>
    <t>浙江科技</t>
  </si>
  <si>
    <t>53437945</t>
  </si>
  <si>
    <t>7534379458</t>
  </si>
  <si>
    <t>吳炫</t>
  </si>
  <si>
    <t>江蘇教育</t>
  </si>
  <si>
    <t>53442890</t>
  </si>
  <si>
    <t>9787534428906</t>
  </si>
  <si>
    <t>陳竟</t>
  </si>
  <si>
    <t>江蘇美術</t>
  </si>
  <si>
    <t>53472004</t>
  </si>
  <si>
    <t>9787534720048</t>
  </si>
  <si>
    <t>劉勇強</t>
  </si>
  <si>
    <t>大象</t>
  </si>
  <si>
    <t>53472008</t>
  </si>
  <si>
    <t>9787534720086</t>
  </si>
  <si>
    <t>麼書儀</t>
  </si>
  <si>
    <t>53473829</t>
  </si>
  <si>
    <t>7534738296</t>
  </si>
  <si>
    <t>河南大象</t>
  </si>
  <si>
    <t>53474888</t>
  </si>
  <si>
    <t>9787534748882</t>
  </si>
  <si>
    <t>龐毅</t>
  </si>
  <si>
    <t>53474916</t>
  </si>
  <si>
    <t>9787534749162</t>
  </si>
  <si>
    <t>史仲文</t>
  </si>
  <si>
    <t>53474928</t>
  </si>
  <si>
    <t>9787534749285</t>
  </si>
  <si>
    <t>白榮金，鍾少異編</t>
  </si>
  <si>
    <t>53475026</t>
  </si>
  <si>
    <t>9787534750267</t>
  </si>
  <si>
    <t>程大昌</t>
  </si>
  <si>
    <t>53475034</t>
  </si>
  <si>
    <t>9787534750342</t>
  </si>
  <si>
    <t>尋根雜誌</t>
  </si>
  <si>
    <t>53475102</t>
  </si>
  <si>
    <t>9787534751028</t>
  </si>
  <si>
    <t>傅璿宗</t>
  </si>
  <si>
    <t>53475339</t>
  </si>
  <si>
    <t>9787534753398</t>
  </si>
  <si>
    <t>楊希武</t>
  </si>
  <si>
    <t>53475677</t>
  </si>
  <si>
    <t>9787534756771</t>
  </si>
  <si>
    <t>臧嶸</t>
  </si>
  <si>
    <t>53475696</t>
  </si>
  <si>
    <t>9787534756962</t>
  </si>
  <si>
    <t>53475702</t>
  </si>
  <si>
    <t>9787534757020</t>
  </si>
  <si>
    <t>53475717</t>
  </si>
  <si>
    <t>9787534757174</t>
  </si>
  <si>
    <t>鄭劭榮. 編</t>
  </si>
  <si>
    <t>53475743</t>
  </si>
  <si>
    <t>9787534757433</t>
  </si>
  <si>
    <t>王向陽</t>
  </si>
  <si>
    <t>53475807</t>
  </si>
  <si>
    <t>9787534758072</t>
  </si>
  <si>
    <t>錢君匋. 主編</t>
  </si>
  <si>
    <t>53475860</t>
  </si>
  <si>
    <t>9787534758607</t>
  </si>
  <si>
    <t>於茂世. 編</t>
  </si>
  <si>
    <t>53482591</t>
  </si>
  <si>
    <t>7534825911</t>
  </si>
  <si>
    <t>馮驥才主編</t>
  </si>
  <si>
    <t>中州古籍</t>
  </si>
  <si>
    <t>53482772</t>
  </si>
  <si>
    <t>9787534827723</t>
  </si>
  <si>
    <t>張研編.黎平著</t>
  </si>
  <si>
    <t>53482773</t>
  </si>
  <si>
    <t>9787534827730</t>
  </si>
  <si>
    <t>張研編.穆之著</t>
  </si>
  <si>
    <t>53482774</t>
  </si>
  <si>
    <t>9787534827747</t>
  </si>
  <si>
    <t>張研編.曉曼著</t>
  </si>
  <si>
    <t>53482775</t>
  </si>
  <si>
    <t>9787534827754</t>
  </si>
  <si>
    <t>張研編.徐妍著</t>
  </si>
  <si>
    <t>53482776</t>
  </si>
  <si>
    <t>9787534827761</t>
  </si>
  <si>
    <t>張研編.林娜著</t>
  </si>
  <si>
    <t>53482777</t>
  </si>
  <si>
    <t>9787534827778</t>
  </si>
  <si>
    <t>張研編.王聰明著</t>
  </si>
  <si>
    <t>53482778</t>
  </si>
  <si>
    <t>9787534827785</t>
  </si>
  <si>
    <t>張研編.李強著</t>
  </si>
  <si>
    <t>53482780</t>
  </si>
  <si>
    <t>9787534827808</t>
  </si>
  <si>
    <t>張研編.連晶晶著</t>
  </si>
  <si>
    <t>53482781</t>
  </si>
  <si>
    <t>9787534827815</t>
  </si>
  <si>
    <t>鄧玉娜</t>
  </si>
  <si>
    <t>53483013</t>
  </si>
  <si>
    <t>9787534830136</t>
  </si>
  <si>
    <t>朱和平</t>
  </si>
  <si>
    <t>53483155</t>
  </si>
  <si>
    <t>9787534831553</t>
  </si>
  <si>
    <t>張春沛</t>
  </si>
  <si>
    <t>53483215</t>
  </si>
  <si>
    <t>7534832154</t>
  </si>
  <si>
    <t>陳清茹</t>
  </si>
  <si>
    <t>53483319</t>
  </si>
  <si>
    <t>9787534833199</t>
  </si>
  <si>
    <t>蘇轍</t>
  </si>
  <si>
    <t>53483342</t>
  </si>
  <si>
    <t>9787534833427</t>
  </si>
  <si>
    <t>印光</t>
  </si>
  <si>
    <t>53543423</t>
  </si>
  <si>
    <t>7535434231</t>
  </si>
  <si>
    <t>曾子墨</t>
  </si>
  <si>
    <t>長江文藝</t>
  </si>
  <si>
    <t>53543510</t>
  </si>
  <si>
    <t>9787535435101</t>
  </si>
  <si>
    <t>孔慶東</t>
  </si>
  <si>
    <t>53543659</t>
  </si>
  <si>
    <t>9787535436597</t>
  </si>
  <si>
    <t>符號</t>
  </si>
  <si>
    <t>53543770</t>
  </si>
  <si>
    <t>9787535437709</t>
  </si>
  <si>
    <t>(荷蘭)(Ray Kluun)瑞·科倫</t>
  </si>
  <si>
    <t>53543858</t>
  </si>
  <si>
    <t>9787535438584</t>
  </si>
  <si>
    <t>嚴家炎著</t>
  </si>
  <si>
    <t>53544113</t>
  </si>
  <si>
    <t>9787535441133</t>
  </si>
  <si>
    <t>盧麗莉著</t>
  </si>
  <si>
    <t>53544254</t>
  </si>
  <si>
    <t>9787535442543</t>
  </si>
  <si>
    <t>中國協作</t>
  </si>
  <si>
    <t>53544405</t>
  </si>
  <si>
    <t>9787535444059</t>
  </si>
  <si>
    <t>林培源. 著</t>
  </si>
  <si>
    <t>53554817</t>
  </si>
  <si>
    <t>7535548172</t>
  </si>
  <si>
    <t>金波</t>
  </si>
  <si>
    <t>湖南教育</t>
  </si>
  <si>
    <t>53562583</t>
  </si>
  <si>
    <t>7535625835</t>
  </si>
  <si>
    <t>湖南美術</t>
  </si>
  <si>
    <t>53563414</t>
  </si>
  <si>
    <t>9787535634146</t>
  </si>
  <si>
    <t>許煥崗</t>
  </si>
  <si>
    <t>53576126</t>
  </si>
  <si>
    <t>9787535761262</t>
  </si>
  <si>
    <t>克拉福特</t>
  </si>
  <si>
    <t>湖南科學</t>
  </si>
  <si>
    <t>53583856</t>
  </si>
  <si>
    <t>9787535838568</t>
  </si>
  <si>
    <t>編者</t>
  </si>
  <si>
    <t>湖南少兒</t>
  </si>
  <si>
    <t>53583857</t>
  </si>
  <si>
    <t>9787535838575</t>
  </si>
  <si>
    <t>薑鵬</t>
  </si>
  <si>
    <t>53584812</t>
  </si>
  <si>
    <t>9787535848123</t>
  </si>
  <si>
    <t>駱承烈</t>
  </si>
  <si>
    <t>53604998</t>
  </si>
  <si>
    <t>9787536049987</t>
  </si>
  <si>
    <t>沈展雲</t>
  </si>
  <si>
    <t>花城</t>
  </si>
  <si>
    <t>53605527</t>
  </si>
  <si>
    <t>9787536055278</t>
  </si>
  <si>
    <t>曹建</t>
  </si>
  <si>
    <t>53605528</t>
  </si>
  <si>
    <t>9787536055285</t>
  </si>
  <si>
    <t>姚義斌</t>
  </si>
  <si>
    <t>53605529</t>
  </si>
  <si>
    <t>9787536055292</t>
  </si>
  <si>
    <t>劉長庚</t>
  </si>
  <si>
    <t>53605533</t>
  </si>
  <si>
    <t>9787536055339</t>
  </si>
  <si>
    <t>周振華</t>
  </si>
  <si>
    <t>53605831</t>
  </si>
  <si>
    <t>9787536058316</t>
  </si>
  <si>
    <t>當當著</t>
  </si>
  <si>
    <t>53623780</t>
  </si>
  <si>
    <t>9787536237803</t>
  </si>
  <si>
    <t>何香凝美術館編</t>
  </si>
  <si>
    <t>嶺南美術</t>
  </si>
  <si>
    <t>53624267</t>
  </si>
  <si>
    <t>9787536242678</t>
  </si>
  <si>
    <t>姚志彬. 著</t>
  </si>
  <si>
    <t>53664970</t>
  </si>
  <si>
    <t>7536649703</t>
  </si>
  <si>
    <t>梁江</t>
  </si>
  <si>
    <t>53666369</t>
  </si>
  <si>
    <t>7536663692</t>
  </si>
  <si>
    <t>都大明</t>
  </si>
  <si>
    <t>53668940</t>
  </si>
  <si>
    <t>9787536689404</t>
  </si>
  <si>
    <t>深水城</t>
  </si>
  <si>
    <t>53669076</t>
  </si>
  <si>
    <t>9787536690769</t>
  </si>
  <si>
    <t>53669170</t>
  </si>
  <si>
    <t>9787536691704</t>
  </si>
  <si>
    <t>方敏</t>
  </si>
  <si>
    <t>53669426</t>
  </si>
  <si>
    <t>9787536694262</t>
  </si>
  <si>
    <t>53705703</t>
  </si>
  <si>
    <t>9787537057035</t>
  </si>
  <si>
    <t>新疆教育</t>
  </si>
  <si>
    <t>53706359</t>
  </si>
  <si>
    <t>9787537063593</t>
  </si>
  <si>
    <t>新疆美攝</t>
  </si>
  <si>
    <t>53706368</t>
  </si>
  <si>
    <t>9787537063685</t>
  </si>
  <si>
    <t>53707910</t>
  </si>
  <si>
    <t>9787537079105</t>
  </si>
  <si>
    <t>53707935</t>
  </si>
  <si>
    <t>9787537079358</t>
  </si>
  <si>
    <t>53707989</t>
  </si>
  <si>
    <t>9787537079891</t>
  </si>
  <si>
    <t>53708065</t>
  </si>
  <si>
    <t>9787537080651</t>
  </si>
  <si>
    <t>53708077</t>
  </si>
  <si>
    <t>9787537080774</t>
  </si>
  <si>
    <t>53708082</t>
  </si>
  <si>
    <t>9787537080828</t>
  </si>
  <si>
    <t>53714603B</t>
  </si>
  <si>
    <t>9787537146036</t>
  </si>
  <si>
    <t>53714603C</t>
  </si>
  <si>
    <t>53714603D</t>
  </si>
  <si>
    <t>53714603F</t>
  </si>
  <si>
    <t>53714603G</t>
  </si>
  <si>
    <t>53714603I</t>
  </si>
  <si>
    <t>53714772A</t>
  </si>
  <si>
    <t>9787537147729</t>
  </si>
  <si>
    <t>53714772B</t>
  </si>
  <si>
    <t>53714772C</t>
  </si>
  <si>
    <t>53714772E</t>
  </si>
  <si>
    <t>53714772G</t>
  </si>
  <si>
    <t>53714772H</t>
  </si>
  <si>
    <t>53714772I</t>
  </si>
  <si>
    <t>53714772J</t>
  </si>
  <si>
    <t>53714773B</t>
  </si>
  <si>
    <t>9787537147736</t>
  </si>
  <si>
    <t>53714773C</t>
  </si>
  <si>
    <t>53714773D</t>
  </si>
  <si>
    <t>53714773H</t>
  </si>
  <si>
    <t>53714773I</t>
  </si>
  <si>
    <t>53715519</t>
  </si>
  <si>
    <t>9787537155199</t>
  </si>
  <si>
    <t>精神焦慮症的自救-病理分析卷</t>
  </si>
  <si>
    <t>53715520</t>
  </si>
  <si>
    <t>9787537155205</t>
  </si>
  <si>
    <t>53715524</t>
  </si>
  <si>
    <t>978753715524</t>
  </si>
  <si>
    <t>53715659</t>
  </si>
  <si>
    <t>9787537156592</t>
  </si>
  <si>
    <t>53715697</t>
  </si>
  <si>
    <t>9787537156974</t>
  </si>
  <si>
    <t>53715698</t>
  </si>
  <si>
    <t>9787537156981</t>
  </si>
  <si>
    <t>53715699</t>
  </si>
  <si>
    <t>9787537156998</t>
  </si>
  <si>
    <t>53715701</t>
  </si>
  <si>
    <t>9787537157018</t>
  </si>
  <si>
    <t>53715702</t>
  </si>
  <si>
    <t>9787537157025</t>
  </si>
  <si>
    <t>53715703</t>
  </si>
  <si>
    <t>9787537157032</t>
  </si>
  <si>
    <t>53715704</t>
  </si>
  <si>
    <t>9787537157049</t>
  </si>
  <si>
    <t>53715705</t>
  </si>
  <si>
    <t>9787537157056</t>
  </si>
  <si>
    <t>53715706</t>
  </si>
  <si>
    <t>9787537157063</t>
  </si>
  <si>
    <t>53715783</t>
  </si>
  <si>
    <t>9787537157834</t>
  </si>
  <si>
    <t>53715808</t>
  </si>
  <si>
    <t>9787537158084</t>
  </si>
  <si>
    <t>53715809</t>
  </si>
  <si>
    <t>9787537158091</t>
  </si>
  <si>
    <t>53715845</t>
  </si>
  <si>
    <t>9787537158459</t>
  </si>
  <si>
    <t>53715846</t>
  </si>
  <si>
    <t>9787537158466</t>
  </si>
  <si>
    <t>53715848</t>
  </si>
  <si>
    <t>9787537158480</t>
  </si>
  <si>
    <t>53715849</t>
  </si>
  <si>
    <t>9787537158497</t>
  </si>
  <si>
    <t>53715850</t>
  </si>
  <si>
    <t>9787537158503</t>
  </si>
  <si>
    <t>53715851</t>
  </si>
  <si>
    <t>9787537158510</t>
  </si>
  <si>
    <t>53715852</t>
  </si>
  <si>
    <t>9787537158527</t>
  </si>
  <si>
    <t>53715853</t>
  </si>
  <si>
    <t>9787537158534</t>
  </si>
  <si>
    <t>53715855</t>
  </si>
  <si>
    <t>9787537158558</t>
  </si>
  <si>
    <t>53715856</t>
  </si>
  <si>
    <t>9787537158565</t>
  </si>
  <si>
    <t>53715859</t>
  </si>
  <si>
    <t>9787537158596</t>
  </si>
  <si>
    <t>53715860</t>
  </si>
  <si>
    <t>9787537158602</t>
  </si>
  <si>
    <t>53715861</t>
  </si>
  <si>
    <t>9787537158619</t>
  </si>
  <si>
    <t>53715862</t>
  </si>
  <si>
    <t>9787537158626</t>
  </si>
  <si>
    <t>53715863</t>
  </si>
  <si>
    <t>9787537158633</t>
  </si>
  <si>
    <t>53715864</t>
  </si>
  <si>
    <t>9787537158640</t>
  </si>
  <si>
    <t>53715865</t>
  </si>
  <si>
    <t>9787537158657</t>
  </si>
  <si>
    <t>53716052</t>
  </si>
  <si>
    <t>9787537160520</t>
  </si>
  <si>
    <t>53716053</t>
  </si>
  <si>
    <t>9787537160537</t>
  </si>
  <si>
    <t>53716054</t>
  </si>
  <si>
    <t>978753716054</t>
  </si>
  <si>
    <t>53716612</t>
  </si>
  <si>
    <t>9787537166126</t>
  </si>
  <si>
    <t>53716617</t>
  </si>
  <si>
    <t>9787537166171</t>
  </si>
  <si>
    <t>53716618</t>
  </si>
  <si>
    <t>9787537166188</t>
  </si>
  <si>
    <t>53716738</t>
  </si>
  <si>
    <t>9787537167383</t>
  </si>
  <si>
    <t>53716740</t>
  </si>
  <si>
    <t>9787537167406</t>
  </si>
  <si>
    <t>53716741</t>
  </si>
  <si>
    <t>9787537167413</t>
  </si>
  <si>
    <t>53716742</t>
  </si>
  <si>
    <t>9787537167420</t>
  </si>
  <si>
    <t>53716744</t>
  </si>
  <si>
    <t>9787537167444</t>
  </si>
  <si>
    <t>53716825</t>
  </si>
  <si>
    <t>9787537168250</t>
  </si>
  <si>
    <t>53717289</t>
  </si>
  <si>
    <t>9787537172899</t>
  </si>
  <si>
    <t>53717295</t>
  </si>
  <si>
    <t>9787537172950</t>
  </si>
  <si>
    <t>53717703</t>
  </si>
  <si>
    <t>9787537177030</t>
  </si>
  <si>
    <t>53717704</t>
  </si>
  <si>
    <t>9787537177047</t>
  </si>
  <si>
    <t>53717705</t>
  </si>
  <si>
    <t>9787537177054</t>
  </si>
  <si>
    <t>53717707</t>
  </si>
  <si>
    <t>9787537177078</t>
  </si>
  <si>
    <t>53717871</t>
  </si>
  <si>
    <t>9787537178716</t>
  </si>
  <si>
    <t>53717872</t>
  </si>
  <si>
    <t>9787537178723</t>
  </si>
  <si>
    <t>53717873</t>
  </si>
  <si>
    <t>9787537178730</t>
  </si>
  <si>
    <t>53717875</t>
  </si>
  <si>
    <t>9787537178754</t>
  </si>
  <si>
    <t>53717876</t>
  </si>
  <si>
    <t>9787537178761</t>
  </si>
  <si>
    <t>53717877</t>
  </si>
  <si>
    <t>9787537178778</t>
  </si>
  <si>
    <t>53717879</t>
  </si>
  <si>
    <t>9787537178792</t>
  </si>
  <si>
    <t>53717880</t>
  </si>
  <si>
    <t>9787537178808</t>
  </si>
  <si>
    <t>53717881</t>
  </si>
  <si>
    <t>9787537178815</t>
  </si>
  <si>
    <t>53717882</t>
  </si>
  <si>
    <t>9787537178822</t>
  </si>
  <si>
    <t>53717883</t>
  </si>
  <si>
    <t>9787537178839</t>
  </si>
  <si>
    <t>53717884</t>
  </si>
  <si>
    <t>9787537178846</t>
  </si>
  <si>
    <t>53717885</t>
  </si>
  <si>
    <t>9787537178853</t>
  </si>
  <si>
    <t>53718029</t>
  </si>
  <si>
    <t>9787537180290</t>
  </si>
  <si>
    <t>53718030</t>
  </si>
  <si>
    <t>9787537180306</t>
  </si>
  <si>
    <t>53718031</t>
  </si>
  <si>
    <t>9787537180313</t>
  </si>
  <si>
    <t>53718033</t>
  </si>
  <si>
    <t>9787537180337</t>
  </si>
  <si>
    <t>53718034</t>
  </si>
  <si>
    <t>9787537180344</t>
  </si>
  <si>
    <t>53718035</t>
  </si>
  <si>
    <t>9787537180351</t>
  </si>
  <si>
    <t>53718037</t>
  </si>
  <si>
    <t>9787537180375</t>
  </si>
  <si>
    <t>53718038</t>
  </si>
  <si>
    <t>9787537180382</t>
  </si>
  <si>
    <t>53718039</t>
  </si>
  <si>
    <t>9787537180399</t>
  </si>
  <si>
    <t>53718040</t>
  </si>
  <si>
    <t>9787537180405</t>
  </si>
  <si>
    <t>53718047</t>
  </si>
  <si>
    <t>9787537180474</t>
  </si>
  <si>
    <t>53718058</t>
  </si>
  <si>
    <t>9787537180580</t>
  </si>
  <si>
    <t>53718059</t>
  </si>
  <si>
    <t>9787537180597</t>
  </si>
  <si>
    <t>53718544</t>
  </si>
  <si>
    <t>9787537185448</t>
  </si>
  <si>
    <t>53718546</t>
  </si>
  <si>
    <t>9787537185462</t>
  </si>
  <si>
    <t>53718796</t>
  </si>
  <si>
    <t>9787537187961</t>
  </si>
  <si>
    <t>53718803</t>
  </si>
  <si>
    <t>9787537188036</t>
  </si>
  <si>
    <t>53718804</t>
  </si>
  <si>
    <t>9787537188043</t>
  </si>
  <si>
    <t>53718899</t>
  </si>
  <si>
    <t>9787537188999</t>
  </si>
  <si>
    <t>53718934</t>
  </si>
  <si>
    <t>9787537189347</t>
  </si>
  <si>
    <t>53719114</t>
  </si>
  <si>
    <t>9787537191142</t>
  </si>
  <si>
    <t>53719115</t>
  </si>
  <si>
    <t>9787537191159</t>
  </si>
  <si>
    <t>53719116</t>
  </si>
  <si>
    <t>9787537191166</t>
  </si>
  <si>
    <t>53719117</t>
  </si>
  <si>
    <t>9787537191173</t>
  </si>
  <si>
    <t>53719118</t>
  </si>
  <si>
    <t>9787537191180</t>
  </si>
  <si>
    <t>53719119</t>
  </si>
  <si>
    <t>9787537191197</t>
  </si>
  <si>
    <t>53719224</t>
  </si>
  <si>
    <t>9787537192248</t>
  </si>
  <si>
    <t>53719240</t>
  </si>
  <si>
    <t>9787537192408</t>
  </si>
  <si>
    <t>53719241</t>
  </si>
  <si>
    <t>9787537192415</t>
  </si>
  <si>
    <t>53719242</t>
  </si>
  <si>
    <t>9787537192422</t>
  </si>
  <si>
    <t>53719304</t>
  </si>
  <si>
    <t>9787537193047</t>
  </si>
  <si>
    <t>53719306</t>
  </si>
  <si>
    <t>9787537193061</t>
  </si>
  <si>
    <t>53719307</t>
  </si>
  <si>
    <t>9787537193078</t>
  </si>
  <si>
    <t>53719308</t>
  </si>
  <si>
    <t>9787537193085</t>
  </si>
  <si>
    <t>53719309</t>
  </si>
  <si>
    <t>9787537193092</t>
  </si>
  <si>
    <t>53719310</t>
  </si>
  <si>
    <t>9787537193108</t>
  </si>
  <si>
    <t>53719311</t>
  </si>
  <si>
    <t>9787537193115</t>
  </si>
  <si>
    <t>53719313</t>
  </si>
  <si>
    <t>9787537193139</t>
  </si>
  <si>
    <t>53719314</t>
  </si>
  <si>
    <t>9787537193146</t>
  </si>
  <si>
    <t>53719315</t>
  </si>
  <si>
    <t>9787537193153</t>
  </si>
  <si>
    <t>53719316</t>
  </si>
  <si>
    <t>9787537193160</t>
  </si>
  <si>
    <t>53719317</t>
  </si>
  <si>
    <t>9787537193177</t>
  </si>
  <si>
    <t>53719318</t>
  </si>
  <si>
    <t>9787537193184</t>
  </si>
  <si>
    <t>53719322</t>
  </si>
  <si>
    <t>9787537193221</t>
  </si>
  <si>
    <t>53719327</t>
  </si>
  <si>
    <t>9787537193276</t>
  </si>
  <si>
    <t>53719328</t>
  </si>
  <si>
    <t>9787537193283</t>
  </si>
  <si>
    <t>53719413</t>
  </si>
  <si>
    <t>9787537194136</t>
  </si>
  <si>
    <t>53719815</t>
  </si>
  <si>
    <t>9787537198158</t>
  </si>
  <si>
    <t>53719818</t>
  </si>
  <si>
    <t>9787537198189</t>
  </si>
  <si>
    <t>53719994</t>
  </si>
  <si>
    <t>9787537199940</t>
  </si>
  <si>
    <t>53815087</t>
  </si>
  <si>
    <t>9787538150872</t>
  </si>
  <si>
    <t>甯雲龍</t>
  </si>
  <si>
    <t>遼寧科技</t>
  </si>
  <si>
    <t>53815088</t>
  </si>
  <si>
    <t>9787538150889</t>
  </si>
  <si>
    <t>53828966</t>
  </si>
  <si>
    <t>9787538289664</t>
  </si>
  <si>
    <t>江南水</t>
  </si>
  <si>
    <t>遼寧教育</t>
  </si>
  <si>
    <t>53854334</t>
  </si>
  <si>
    <t>9787538543346</t>
  </si>
  <si>
    <t>張超</t>
  </si>
  <si>
    <t>北方婦兒</t>
  </si>
  <si>
    <t>53854422</t>
  </si>
  <si>
    <t>9787538544220</t>
  </si>
  <si>
    <t>孟令哉. 主編</t>
  </si>
  <si>
    <t>53872341</t>
  </si>
  <si>
    <t>9787538723410</t>
  </si>
  <si>
    <t>[清]朱琰</t>
  </si>
  <si>
    <t>時代文藝</t>
  </si>
  <si>
    <t>53872343</t>
  </si>
  <si>
    <t>9787538723434</t>
  </si>
  <si>
    <t>康有為</t>
  </si>
  <si>
    <t>53872346</t>
  </si>
  <si>
    <t>9787538723465</t>
  </si>
  <si>
    <t>[戰國]公孫龍</t>
  </si>
  <si>
    <t>53872347</t>
  </si>
  <si>
    <t>9787538723472</t>
  </si>
  <si>
    <t>[春秋]管仲</t>
  </si>
  <si>
    <t>53872348</t>
  </si>
  <si>
    <t>9787538723489</t>
  </si>
  <si>
    <t>[春秋]左丘明</t>
  </si>
  <si>
    <t>53872349</t>
  </si>
  <si>
    <t>9787538723496</t>
  </si>
  <si>
    <t>[戰國]韓非</t>
  </si>
  <si>
    <t>53872351</t>
  </si>
  <si>
    <t>9787538723519</t>
  </si>
  <si>
    <t>[春秋]歇冠子</t>
  </si>
  <si>
    <t>53872353</t>
  </si>
  <si>
    <t>9787538723533</t>
  </si>
  <si>
    <t>[西漢]賈誼</t>
  </si>
  <si>
    <t>53872355</t>
  </si>
  <si>
    <t>9787538723557</t>
  </si>
  <si>
    <t>[清]孫星衍</t>
  </si>
  <si>
    <t>53872356</t>
  </si>
  <si>
    <t>9787538723564</t>
  </si>
  <si>
    <t>[魏]王肅</t>
  </si>
  <si>
    <t>53872357</t>
  </si>
  <si>
    <t>9787538723571</t>
  </si>
  <si>
    <t>[春秋]老子</t>
  </si>
  <si>
    <t>53872358</t>
  </si>
  <si>
    <t>9787538723588</t>
  </si>
  <si>
    <t>[戰國]列禦</t>
  </si>
  <si>
    <t>53872360</t>
  </si>
  <si>
    <t>9787538723601</t>
  </si>
  <si>
    <t>[周]姜尚</t>
  </si>
  <si>
    <t>53872362</t>
  </si>
  <si>
    <t>9787538723625</t>
  </si>
  <si>
    <t>[漢]王充</t>
  </si>
  <si>
    <t>53872363</t>
  </si>
  <si>
    <t>9787538723632</t>
  </si>
  <si>
    <t>[北魏]楊衒之</t>
  </si>
  <si>
    <t>53872364</t>
  </si>
  <si>
    <t>9787538723649</t>
  </si>
  <si>
    <t>[戰國]孟柯</t>
  </si>
  <si>
    <t>53872366</t>
  </si>
  <si>
    <t>9787538723663</t>
  </si>
  <si>
    <t>[戰國]墨翟</t>
  </si>
  <si>
    <t>53872369</t>
  </si>
  <si>
    <t>9787538723694</t>
  </si>
  <si>
    <t>[戰國]申不害</t>
  </si>
  <si>
    <t>53872371</t>
  </si>
  <si>
    <t>9787538723717</t>
  </si>
  <si>
    <t>[唐]劉知幾</t>
  </si>
  <si>
    <t>53872372</t>
  </si>
  <si>
    <t>9787538723724</t>
  </si>
  <si>
    <t>[漢]宋衷</t>
  </si>
  <si>
    <t>53872380</t>
  </si>
  <si>
    <t>9787538723809</t>
  </si>
  <si>
    <t>[宋]蘇易簡</t>
  </si>
  <si>
    <t>53872382</t>
  </si>
  <si>
    <t>9787538723823</t>
  </si>
  <si>
    <t>[周]文子</t>
  </si>
  <si>
    <t>53872383</t>
  </si>
  <si>
    <t>9787538723830</t>
  </si>
  <si>
    <t>[東漢]趙曄</t>
  </si>
  <si>
    <t>53872385</t>
  </si>
  <si>
    <t>9787538723854</t>
  </si>
  <si>
    <t>[唐]杜佑</t>
  </si>
  <si>
    <t>53872386</t>
  </si>
  <si>
    <t>9787538723861</t>
  </si>
  <si>
    <t>[元]陸友</t>
  </si>
  <si>
    <t>53872387</t>
  </si>
  <si>
    <t>9787538723878</t>
  </si>
  <si>
    <t>[西漢]揚雄</t>
  </si>
  <si>
    <t>53872389</t>
  </si>
  <si>
    <t>9787538723892</t>
  </si>
  <si>
    <t>[東漢]袁康</t>
  </si>
  <si>
    <t>53872391</t>
  </si>
  <si>
    <t>9787538723915</t>
  </si>
  <si>
    <t>劉向[西漢]</t>
  </si>
  <si>
    <t>53872394</t>
  </si>
  <si>
    <t>9787538723946</t>
  </si>
  <si>
    <t>[隋]王通</t>
  </si>
  <si>
    <t>53872395</t>
  </si>
  <si>
    <t>9787538723953</t>
  </si>
  <si>
    <t>[魏]王弼</t>
  </si>
  <si>
    <t>53872397</t>
  </si>
  <si>
    <t>9787538723977</t>
  </si>
  <si>
    <t>[戰國]莊周</t>
  </si>
  <si>
    <t>53872398</t>
  </si>
  <si>
    <t>9787538723984</t>
  </si>
  <si>
    <t>[宋]汪?</t>
  </si>
  <si>
    <t>53872560</t>
  </si>
  <si>
    <t>9787538725605</t>
  </si>
  <si>
    <t>餘嘉錫</t>
  </si>
  <si>
    <t>53872562</t>
  </si>
  <si>
    <t>9787538725629</t>
  </si>
  <si>
    <t>黃節著</t>
  </si>
  <si>
    <t>53872979</t>
  </si>
  <si>
    <t>9787538729795</t>
  </si>
  <si>
    <t>南派三叔</t>
  </si>
  <si>
    <t>53885095</t>
  </si>
  <si>
    <t>7538850953</t>
  </si>
  <si>
    <t>羅熙蔭</t>
  </si>
  <si>
    <t>黑科技</t>
  </si>
  <si>
    <t>53925064</t>
  </si>
  <si>
    <t>9787539250649</t>
  </si>
  <si>
    <t>曾良著</t>
  </si>
  <si>
    <t>江西教育</t>
  </si>
  <si>
    <t>53943106</t>
  </si>
  <si>
    <t>9787539431062</t>
  </si>
  <si>
    <t>潘耀昌</t>
  </si>
  <si>
    <t>湖北美術</t>
  </si>
  <si>
    <t>53962663</t>
  </si>
  <si>
    <t>9787539626635</t>
  </si>
  <si>
    <t>陳平</t>
  </si>
  <si>
    <t>安徽文藝</t>
  </si>
  <si>
    <t>53962697</t>
  </si>
  <si>
    <t>7539626976</t>
  </si>
  <si>
    <t>財富中國之財富傳奇</t>
  </si>
  <si>
    <t>53973416</t>
  </si>
  <si>
    <t>9787539734163</t>
  </si>
  <si>
    <t>安徽少兒</t>
  </si>
  <si>
    <t>53981181</t>
  </si>
  <si>
    <t>7539811811</t>
  </si>
  <si>
    <t>李錦璐</t>
  </si>
  <si>
    <t>53992462</t>
  </si>
  <si>
    <t>9787539924625</t>
  </si>
  <si>
    <t>聞一多著</t>
  </si>
  <si>
    <t>江蘇文藝</t>
  </si>
  <si>
    <t>53992635</t>
  </si>
  <si>
    <t>9787539926353</t>
  </si>
  <si>
    <t>張蔭鱗</t>
  </si>
  <si>
    <t>53992808</t>
  </si>
  <si>
    <t>9787539928081</t>
  </si>
  <si>
    <t>王易</t>
  </si>
  <si>
    <t>53992811</t>
  </si>
  <si>
    <t>9787539928111</t>
  </si>
  <si>
    <t>53992812</t>
  </si>
  <si>
    <t>9787539928128</t>
  </si>
  <si>
    <t>李維</t>
  </si>
  <si>
    <t>53992834</t>
  </si>
  <si>
    <t>9787539928340</t>
  </si>
  <si>
    <t>53992835</t>
  </si>
  <si>
    <t>9787539928357</t>
  </si>
  <si>
    <t>劉師培</t>
  </si>
  <si>
    <t>53993000</t>
  </si>
  <si>
    <t>9787539930008</t>
  </si>
  <si>
    <t>張承志</t>
  </si>
  <si>
    <t>53993046</t>
  </si>
  <si>
    <t>9787539930466</t>
  </si>
  <si>
    <t>余華</t>
  </si>
  <si>
    <t>53993166</t>
  </si>
  <si>
    <t>9787539931661</t>
  </si>
  <si>
    <t>柏樺</t>
  </si>
  <si>
    <t>53993295</t>
  </si>
  <si>
    <t>9787539932958</t>
  </si>
  <si>
    <t>蝴蝶盅著</t>
  </si>
  <si>
    <t>54011513</t>
  </si>
  <si>
    <t>9787540115135</t>
  </si>
  <si>
    <t>馬亞</t>
  </si>
  <si>
    <t>河南美術</t>
  </si>
  <si>
    <t>54012011</t>
  </si>
  <si>
    <t>9787540120115</t>
  </si>
  <si>
    <t>郭貴興. 編</t>
  </si>
  <si>
    <t>54012043</t>
  </si>
  <si>
    <t>9787540120436</t>
  </si>
  <si>
    <t>明瓚. 著</t>
  </si>
  <si>
    <t>54020481</t>
  </si>
  <si>
    <t>9787540204815</t>
  </si>
  <si>
    <t>孟軻</t>
  </si>
  <si>
    <t>54021775</t>
  </si>
  <si>
    <t>9787540217754</t>
  </si>
  <si>
    <t>飛煙著</t>
  </si>
  <si>
    <t>54021914A</t>
  </si>
  <si>
    <t>9787540219147</t>
  </si>
  <si>
    <t>石振懷</t>
  </si>
  <si>
    <t>54021914C</t>
  </si>
  <si>
    <t>54022048B</t>
  </si>
  <si>
    <t>9787540220488</t>
  </si>
  <si>
    <t>張豔玲</t>
  </si>
  <si>
    <t>54022048F</t>
  </si>
  <si>
    <t>54030167</t>
  </si>
  <si>
    <t>7540301678</t>
  </si>
  <si>
    <t>夏  樗主編</t>
  </si>
  <si>
    <t>崇文書局</t>
  </si>
  <si>
    <t>54031493</t>
  </si>
  <si>
    <t>9787540314934</t>
  </si>
  <si>
    <t>林?著</t>
  </si>
  <si>
    <t>54031585</t>
  </si>
  <si>
    <t>9787540315856</t>
  </si>
  <si>
    <t>王曉華</t>
  </si>
  <si>
    <t>54031586</t>
  </si>
  <si>
    <t>9787540315863</t>
  </si>
  <si>
    <t>54031587</t>
  </si>
  <si>
    <t>9787540315870</t>
  </si>
  <si>
    <t>54044128</t>
  </si>
  <si>
    <t>9787540441289</t>
  </si>
  <si>
    <t>王文元</t>
  </si>
  <si>
    <t>湖南文藝</t>
  </si>
  <si>
    <t>54044192</t>
  </si>
  <si>
    <t>9787540441920</t>
  </si>
  <si>
    <t>董永</t>
  </si>
  <si>
    <t>54067720</t>
  </si>
  <si>
    <t>9787540677206</t>
  </si>
  <si>
    <t>淩遠清. 著</t>
  </si>
  <si>
    <t>廣東教育</t>
  </si>
  <si>
    <t>54067721</t>
  </si>
  <si>
    <t>9787540677213</t>
  </si>
  <si>
    <t>儲冬愛. 著</t>
  </si>
  <si>
    <t>54093844</t>
  </si>
  <si>
    <t>9787540938444</t>
  </si>
  <si>
    <t>四川民族</t>
  </si>
  <si>
    <t>54102679</t>
  </si>
  <si>
    <t>7541026794</t>
  </si>
  <si>
    <t>四川美術</t>
  </si>
  <si>
    <t>54102804</t>
  </si>
  <si>
    <t>7541028045</t>
  </si>
  <si>
    <t>陳綏祥</t>
  </si>
  <si>
    <t>54102837</t>
  </si>
  <si>
    <t>7541028371</t>
  </si>
  <si>
    <t>董立軍</t>
  </si>
  <si>
    <t>54103048</t>
  </si>
  <si>
    <t>9787541030482</t>
  </si>
  <si>
    <t>陳錦</t>
  </si>
  <si>
    <t>54103081</t>
  </si>
  <si>
    <t>7541030813</t>
  </si>
  <si>
    <t>雷子</t>
  </si>
  <si>
    <t>54103104</t>
  </si>
  <si>
    <t>7541031046</t>
  </si>
  <si>
    <t>劉二剛</t>
  </si>
  <si>
    <t>54103105</t>
  </si>
  <si>
    <t>7541031054</t>
  </si>
  <si>
    <t>朱新建</t>
  </si>
  <si>
    <t>54112245</t>
  </si>
  <si>
    <t>7541122459</t>
  </si>
  <si>
    <t>吳冉</t>
  </si>
  <si>
    <t>四川文藝</t>
  </si>
  <si>
    <t>54112656</t>
  </si>
  <si>
    <t>9787541126567</t>
  </si>
  <si>
    <t>凹凸</t>
  </si>
  <si>
    <t>54112661</t>
  </si>
  <si>
    <t>9787541126611</t>
  </si>
  <si>
    <t>章夫</t>
  </si>
  <si>
    <t>54112664</t>
  </si>
  <si>
    <t>9787541126642</t>
  </si>
  <si>
    <t>54112764</t>
  </si>
  <si>
    <t>9787541127649</t>
  </si>
  <si>
    <t>鄧惠</t>
  </si>
  <si>
    <t>54121572</t>
  </si>
  <si>
    <t>9787541215728</t>
  </si>
  <si>
    <t>吳勇</t>
  </si>
  <si>
    <t>貴州民族</t>
  </si>
  <si>
    <t>54153489</t>
  </si>
  <si>
    <t>9787541534898</t>
  </si>
  <si>
    <t>徐宇宏</t>
  </si>
  <si>
    <t>雲南教育</t>
  </si>
  <si>
    <t>54153806</t>
  </si>
  <si>
    <t>9787541538063</t>
  </si>
  <si>
    <t>張翼新</t>
  </si>
  <si>
    <t>54173751</t>
  </si>
  <si>
    <t>9787541737510</t>
  </si>
  <si>
    <t>秉禮</t>
  </si>
  <si>
    <t>未來</t>
  </si>
  <si>
    <t>54181216</t>
  </si>
  <si>
    <t>7541812161</t>
  </si>
  <si>
    <t>南海</t>
  </si>
  <si>
    <t>陝西旅遊</t>
  </si>
  <si>
    <t>54181216B</t>
  </si>
  <si>
    <t>54230864</t>
  </si>
  <si>
    <t>7542308645</t>
  </si>
  <si>
    <t>薛長年</t>
  </si>
  <si>
    <t>甘肅教育</t>
  </si>
  <si>
    <t>54231508</t>
  </si>
  <si>
    <t>9787542315083</t>
  </si>
  <si>
    <t>榮新江著</t>
  </si>
  <si>
    <t>54231526</t>
  </si>
  <si>
    <t>9787542315267</t>
  </si>
  <si>
    <t>朱玉鳳</t>
  </si>
  <si>
    <t>54231533</t>
  </si>
  <si>
    <t>9787542315335</t>
  </si>
  <si>
    <t>劉進寶著</t>
  </si>
  <si>
    <t>54231545</t>
  </si>
  <si>
    <t>9787542315458</t>
  </si>
  <si>
    <t>李重申</t>
  </si>
  <si>
    <t>54251006</t>
  </si>
  <si>
    <t>9787542510068</t>
  </si>
  <si>
    <t>伊犁人民</t>
  </si>
  <si>
    <t>54251035</t>
  </si>
  <si>
    <t>9787542510358</t>
  </si>
  <si>
    <t>54262461</t>
  </si>
  <si>
    <t>9787542624611</t>
  </si>
  <si>
    <t>梁啟超，章太炎，朱自清著</t>
  </si>
  <si>
    <t>上海三聯</t>
  </si>
  <si>
    <t>54262477</t>
  </si>
  <si>
    <t>7542624776</t>
  </si>
  <si>
    <t>馮立鼇</t>
  </si>
  <si>
    <t>54262508</t>
  </si>
  <si>
    <t>754262508X</t>
  </si>
  <si>
    <t>54262990</t>
  </si>
  <si>
    <t>9787542629906</t>
  </si>
  <si>
    <t>楊寶春著</t>
  </si>
  <si>
    <t>54263280</t>
  </si>
  <si>
    <t>9787542632807</t>
  </si>
  <si>
    <t>靳新來. 著</t>
  </si>
  <si>
    <t>54263281</t>
  </si>
  <si>
    <t>9787542632814</t>
  </si>
  <si>
    <t>蔡國聲</t>
  </si>
  <si>
    <t>54263294</t>
  </si>
  <si>
    <t>9787542632944</t>
  </si>
  <si>
    <t>古文孝經解讀</t>
  </si>
  <si>
    <t>邢祖援. 陳景新. 著</t>
  </si>
  <si>
    <t>54263567</t>
  </si>
  <si>
    <t>9787542635679</t>
  </si>
  <si>
    <t>魯衛著</t>
  </si>
  <si>
    <t>54302676</t>
  </si>
  <si>
    <t>9787543026766</t>
  </si>
  <si>
    <t>劉川鄂</t>
  </si>
  <si>
    <t>武漢</t>
  </si>
  <si>
    <t>54302677</t>
  </si>
  <si>
    <t>9787543026775</t>
  </si>
  <si>
    <t>54302678</t>
  </si>
  <si>
    <t>9787543026783</t>
  </si>
  <si>
    <t>54302679</t>
  </si>
  <si>
    <t>9787543026791</t>
  </si>
  <si>
    <t>54303566A</t>
  </si>
  <si>
    <t>9787543035669</t>
  </si>
  <si>
    <t>何祚歡</t>
  </si>
  <si>
    <t>54303973</t>
  </si>
  <si>
    <t>9787543039735</t>
  </si>
  <si>
    <t>英雄旗主</t>
  </si>
  <si>
    <t>54304454</t>
  </si>
  <si>
    <t>9787543044548</t>
  </si>
  <si>
    <t>易中天</t>
  </si>
  <si>
    <t>54321215</t>
  </si>
  <si>
    <t>7543212153</t>
  </si>
  <si>
    <t>漢語大詞典</t>
  </si>
  <si>
    <t>54332106</t>
  </si>
  <si>
    <t>7543321068</t>
  </si>
  <si>
    <t>王淑靜</t>
  </si>
  <si>
    <t>天津科譯</t>
  </si>
  <si>
    <t>54345048</t>
  </si>
  <si>
    <t>7543450488</t>
  </si>
  <si>
    <t>黃茂初著</t>
  </si>
  <si>
    <t>河北教育</t>
  </si>
  <si>
    <t>54345049</t>
  </si>
  <si>
    <t>7543450496</t>
  </si>
  <si>
    <t>張鳳洪著</t>
  </si>
  <si>
    <t>54345050</t>
  </si>
  <si>
    <t>754345050X</t>
  </si>
  <si>
    <t>商彥梓著</t>
  </si>
  <si>
    <t>54345053</t>
  </si>
  <si>
    <t>7543450534</t>
  </si>
  <si>
    <t>常萬生著</t>
  </si>
  <si>
    <t>54345054</t>
  </si>
  <si>
    <t>7543450542</t>
  </si>
  <si>
    <t>左雲霖著</t>
  </si>
  <si>
    <t>54345055</t>
  </si>
  <si>
    <t>7543450550</t>
  </si>
  <si>
    <t>章栩，梅華著</t>
  </si>
  <si>
    <t>54345056</t>
  </si>
  <si>
    <t>7543450569</t>
  </si>
  <si>
    <t>54345059</t>
  </si>
  <si>
    <t>7543450593</t>
  </si>
  <si>
    <t>羅恒廉編著</t>
  </si>
  <si>
    <t>54345631</t>
  </si>
  <si>
    <t>7543456311</t>
  </si>
  <si>
    <t>王驍主</t>
  </si>
  <si>
    <t>54345671</t>
  </si>
  <si>
    <t>7543456710</t>
  </si>
  <si>
    <t>王鏞</t>
  </si>
  <si>
    <t>54346862</t>
  </si>
  <si>
    <t>9787543468627</t>
  </si>
  <si>
    <t>祁連休</t>
  </si>
  <si>
    <t>河北麥田</t>
  </si>
  <si>
    <t>54347343</t>
  </si>
  <si>
    <t>9787543473430</t>
  </si>
  <si>
    <t>旭宇</t>
  </si>
  <si>
    <t>54385892</t>
  </si>
  <si>
    <t>9787543858923</t>
  </si>
  <si>
    <t>鄒巔著</t>
  </si>
  <si>
    <t>湖南人民</t>
  </si>
  <si>
    <t>54386022</t>
  </si>
  <si>
    <t>9787543860223</t>
  </si>
  <si>
    <t>劉學</t>
  </si>
  <si>
    <t>54386598</t>
  </si>
  <si>
    <t>9787543865983</t>
  </si>
  <si>
    <t>沉忱. 著</t>
  </si>
  <si>
    <t>54386618</t>
  </si>
  <si>
    <t>9787543866188</t>
  </si>
  <si>
    <t>鄭海麟. 著</t>
  </si>
  <si>
    <t>54404116</t>
  </si>
  <si>
    <t>9787544041164</t>
  </si>
  <si>
    <t>王連升</t>
  </si>
  <si>
    <t>山西教育</t>
  </si>
  <si>
    <t>54404127</t>
  </si>
  <si>
    <t>9787544041270</t>
  </si>
  <si>
    <t>54404128</t>
  </si>
  <si>
    <t>9787544041287</t>
  </si>
  <si>
    <t>54414314</t>
  </si>
  <si>
    <t>9787544143141</t>
  </si>
  <si>
    <t>南宗丘. 著</t>
  </si>
  <si>
    <t>瀋陽</t>
  </si>
  <si>
    <t>54424391</t>
  </si>
  <si>
    <t>9787544243919</t>
  </si>
  <si>
    <t>(美)派特麗夏·康薇</t>
  </si>
  <si>
    <t>54432261</t>
  </si>
  <si>
    <t>9787544322614</t>
  </si>
  <si>
    <t>伍立楊</t>
  </si>
  <si>
    <t>海南三環</t>
  </si>
  <si>
    <t>54442029</t>
  </si>
  <si>
    <t>9787544420297</t>
  </si>
  <si>
    <t>上海教育</t>
  </si>
  <si>
    <t>54443561</t>
  </si>
  <si>
    <t>9787544435611</t>
  </si>
  <si>
    <t>54450362</t>
  </si>
  <si>
    <t>7544503623</t>
  </si>
  <si>
    <t>安震</t>
  </si>
  <si>
    <t>長春</t>
  </si>
  <si>
    <t>54450484</t>
  </si>
  <si>
    <t>9787544504843</t>
  </si>
  <si>
    <t>王子今</t>
  </si>
  <si>
    <t>54450693</t>
  </si>
  <si>
    <t>9787544506939</t>
  </si>
  <si>
    <t>江心力著</t>
  </si>
  <si>
    <t>54451151</t>
  </si>
  <si>
    <t>9787544511513</t>
  </si>
  <si>
    <t>佟偉</t>
  </si>
  <si>
    <t>54520157</t>
  </si>
  <si>
    <t>9787545201574</t>
  </si>
  <si>
    <t>高天流雲</t>
  </si>
  <si>
    <t>上海錦繡</t>
  </si>
  <si>
    <t>54520382</t>
  </si>
  <si>
    <t>9787545203820</t>
  </si>
  <si>
    <t>郝銘鑒</t>
  </si>
  <si>
    <t>錦繡文章</t>
  </si>
  <si>
    <t>54520386</t>
  </si>
  <si>
    <t>9787545203868</t>
  </si>
  <si>
    <t>高天流雲著</t>
  </si>
  <si>
    <t>54520408</t>
  </si>
  <si>
    <t>9787545204087</t>
  </si>
  <si>
    <t>草色風煙</t>
  </si>
  <si>
    <t>54520511</t>
  </si>
  <si>
    <t>9787545205114</t>
  </si>
  <si>
    <t>54540151</t>
  </si>
  <si>
    <t>9787545401516</t>
  </si>
  <si>
    <t>廣東經濟</t>
  </si>
  <si>
    <t>54550094</t>
  </si>
  <si>
    <t>9787545500943</t>
  </si>
  <si>
    <t>劉南江</t>
  </si>
  <si>
    <t>54580123</t>
  </si>
  <si>
    <t>9787545801231</t>
  </si>
  <si>
    <t>朱國榮</t>
  </si>
  <si>
    <t>上海書店</t>
  </si>
  <si>
    <t>54580165</t>
  </si>
  <si>
    <t>9787545801651</t>
  </si>
  <si>
    <t>上海書店出版社</t>
  </si>
  <si>
    <t>54580167</t>
  </si>
  <si>
    <t>9787545801675</t>
  </si>
  <si>
    <t>朱蘇進著</t>
  </si>
  <si>
    <t>54610022</t>
  </si>
  <si>
    <t>9787546100227</t>
  </si>
  <si>
    <t>楊維貞</t>
  </si>
  <si>
    <t>黃山書社</t>
  </si>
  <si>
    <t>54610083</t>
  </si>
  <si>
    <t>9787546100838</t>
  </si>
  <si>
    <t>中國歷代法書真跡萃編 宋 朱熹法書選 行書信劄及文稿</t>
  </si>
  <si>
    <t>朱熹</t>
  </si>
  <si>
    <t>54610167</t>
  </si>
  <si>
    <t>9787546101675</t>
  </si>
  <si>
    <t>中國歷代法書真跡萃編 宋 陸遊法書選 行書尊眷帖等六種</t>
  </si>
  <si>
    <t>陸遊</t>
  </si>
  <si>
    <t>54610188</t>
  </si>
  <si>
    <t>9787546101880</t>
  </si>
  <si>
    <t>王輝斌</t>
  </si>
  <si>
    <t>54610838</t>
  </si>
  <si>
    <t>9787546108384</t>
  </si>
  <si>
    <t>周可真</t>
  </si>
  <si>
    <t>54611021</t>
  </si>
  <si>
    <t>9787546110219</t>
  </si>
  <si>
    <t>韜晦術-天下無謀之秘卷八書-伍</t>
  </si>
  <si>
    <t>(明) 楊慎. 編著</t>
  </si>
  <si>
    <t>54630748</t>
  </si>
  <si>
    <t>9787546307480</t>
  </si>
  <si>
    <t>羅哲鬱</t>
  </si>
  <si>
    <t>吉林出版</t>
  </si>
  <si>
    <t>54631120</t>
  </si>
  <si>
    <t>9787546311203</t>
  </si>
  <si>
    <t>張程</t>
  </si>
  <si>
    <t>54632207</t>
  </si>
  <si>
    <t>9787546322070</t>
  </si>
  <si>
    <t>宮玉海. 著</t>
  </si>
  <si>
    <t>54632309</t>
  </si>
  <si>
    <t>9787546323091</t>
  </si>
  <si>
    <t>魏國靜. 高玉昆. 著</t>
  </si>
  <si>
    <t>54632310</t>
  </si>
  <si>
    <t>9787546323107</t>
  </si>
  <si>
    <t>老絲</t>
  </si>
  <si>
    <t>54632809</t>
  </si>
  <si>
    <t>9787546328096</t>
  </si>
  <si>
    <t>摘星樓主. 著</t>
  </si>
  <si>
    <t>54633700</t>
  </si>
  <si>
    <t>9787546337005</t>
  </si>
  <si>
    <t>54660077</t>
  </si>
  <si>
    <t>9787546600772</t>
  </si>
  <si>
    <t>新疆科技</t>
  </si>
  <si>
    <t>54660268</t>
  </si>
  <si>
    <t>9787546602684</t>
  </si>
  <si>
    <t>54660929</t>
  </si>
  <si>
    <t>9787546609294</t>
  </si>
  <si>
    <t>54660945</t>
  </si>
  <si>
    <t>9787546609454</t>
  </si>
  <si>
    <t>54661094</t>
  </si>
  <si>
    <t>9787546610948</t>
  </si>
  <si>
    <t>54661124</t>
  </si>
  <si>
    <t>9787546611242</t>
  </si>
  <si>
    <t>54661378</t>
  </si>
  <si>
    <t>9787546613789</t>
  </si>
  <si>
    <t>新疆和田草地植物志</t>
  </si>
  <si>
    <t>54661460</t>
  </si>
  <si>
    <t>9787546614601</t>
  </si>
  <si>
    <t>54680042</t>
  </si>
  <si>
    <t>9787546800424</t>
  </si>
  <si>
    <t>王正強選編</t>
  </si>
  <si>
    <t>敦煌文藝</t>
  </si>
  <si>
    <t>54690975</t>
  </si>
  <si>
    <t>9787546909752</t>
  </si>
  <si>
    <t>54691436</t>
  </si>
  <si>
    <t>9787546914367</t>
  </si>
  <si>
    <t>54691508</t>
  </si>
  <si>
    <t>9787546915081</t>
  </si>
  <si>
    <t>54691564</t>
  </si>
  <si>
    <t>9787546915647</t>
  </si>
  <si>
    <t>54691902</t>
  </si>
  <si>
    <t>9787546919027</t>
  </si>
  <si>
    <t>54692002</t>
  </si>
  <si>
    <t>9787546920023</t>
  </si>
  <si>
    <t>54692028</t>
  </si>
  <si>
    <t>9787546920283</t>
  </si>
  <si>
    <t>54692168</t>
  </si>
  <si>
    <t>9787546921686</t>
  </si>
  <si>
    <t>54692231</t>
  </si>
  <si>
    <t>9787546922317</t>
  </si>
  <si>
    <t>54692232</t>
  </si>
  <si>
    <t>9787546922324</t>
  </si>
  <si>
    <t>54692233</t>
  </si>
  <si>
    <t>9787546922331</t>
  </si>
  <si>
    <t>54692234</t>
  </si>
  <si>
    <t>9787546922348</t>
  </si>
  <si>
    <t>54692235</t>
  </si>
  <si>
    <t>9787546922355</t>
  </si>
  <si>
    <t>54692236</t>
  </si>
  <si>
    <t>9787546922362</t>
  </si>
  <si>
    <t>54692237</t>
  </si>
  <si>
    <t>9787546922379</t>
  </si>
  <si>
    <t>54692510</t>
  </si>
  <si>
    <t>9787546925103</t>
  </si>
  <si>
    <t>54692511</t>
  </si>
  <si>
    <t>9787546925110</t>
  </si>
  <si>
    <t>54692512</t>
  </si>
  <si>
    <t>9787546925127</t>
  </si>
  <si>
    <t>54692514</t>
  </si>
  <si>
    <t>9787546925141</t>
  </si>
  <si>
    <t>54692666</t>
  </si>
  <si>
    <t>9787546926667</t>
  </si>
  <si>
    <t>54692668</t>
  </si>
  <si>
    <t>9787546926681</t>
  </si>
  <si>
    <t>54692673</t>
  </si>
  <si>
    <t>9787546926735</t>
  </si>
  <si>
    <t>54700353</t>
  </si>
  <si>
    <t>9787547003534</t>
  </si>
  <si>
    <t>李克</t>
  </si>
  <si>
    <t>萬卷</t>
  </si>
  <si>
    <t>54720336</t>
  </si>
  <si>
    <t>9787547203361</t>
  </si>
  <si>
    <t>劉亞學. 著</t>
  </si>
  <si>
    <t>吉林文史</t>
  </si>
  <si>
    <t>54730045</t>
  </si>
  <si>
    <t>王小慧</t>
  </si>
  <si>
    <t>54730106</t>
  </si>
  <si>
    <t>朱鴻召</t>
  </si>
  <si>
    <t>54730113</t>
  </si>
  <si>
    <t>9787547301135</t>
  </si>
  <si>
    <t>範子燁</t>
  </si>
  <si>
    <t>東方中心</t>
  </si>
  <si>
    <t>54730162</t>
  </si>
  <si>
    <t>9787547301623</t>
  </si>
  <si>
    <t>上海世博會事務協調局</t>
  </si>
  <si>
    <t>54730400</t>
  </si>
  <si>
    <t>54730416</t>
  </si>
  <si>
    <t>54750060</t>
  </si>
  <si>
    <t>9787547500606</t>
  </si>
  <si>
    <t>王海冬. 著</t>
  </si>
  <si>
    <t>百家</t>
  </si>
  <si>
    <t>54750061</t>
  </si>
  <si>
    <t>9787547500613</t>
  </si>
  <si>
    <t>章慧敏. 著</t>
  </si>
  <si>
    <t>54750062</t>
  </si>
  <si>
    <t>9787547500620</t>
  </si>
  <si>
    <t>王宏剛. 張安巡. 編著</t>
  </si>
  <si>
    <t>54750063</t>
  </si>
  <si>
    <t>9787547500637</t>
  </si>
  <si>
    <t>54750065</t>
  </si>
  <si>
    <t>9787547500651</t>
  </si>
  <si>
    <t>許雲倩. 著</t>
  </si>
  <si>
    <t>54750066</t>
  </si>
  <si>
    <t>9787547500668</t>
  </si>
  <si>
    <t>袁念琪. 著</t>
  </si>
  <si>
    <t>54750068</t>
  </si>
  <si>
    <t>9787547500682</t>
  </si>
  <si>
    <t>陸幸生. 著</t>
  </si>
  <si>
    <t>54750069</t>
  </si>
  <si>
    <t>9787547500699</t>
  </si>
  <si>
    <t>楊秀麗. 著</t>
  </si>
  <si>
    <t>54750070</t>
  </si>
  <si>
    <t>9787547500705</t>
  </si>
  <si>
    <t>張明是. 著</t>
  </si>
  <si>
    <t>54750071</t>
  </si>
  <si>
    <t>9787547500712</t>
  </si>
  <si>
    <t>54760212</t>
  </si>
  <si>
    <t>9787547602126</t>
  </si>
  <si>
    <t>章用秀</t>
  </si>
  <si>
    <t>上海遠東</t>
  </si>
  <si>
    <t>54760331</t>
  </si>
  <si>
    <t>9787547603314</t>
  </si>
  <si>
    <t>吳良忠著</t>
  </si>
  <si>
    <t>54800167</t>
  </si>
  <si>
    <t>9787548001676</t>
  </si>
  <si>
    <t>李洗熙</t>
  </si>
  <si>
    <t>江西美術</t>
  </si>
  <si>
    <t>54800171</t>
  </si>
  <si>
    <t>9787548001713</t>
  </si>
  <si>
    <t>金龍俊</t>
  </si>
  <si>
    <t>54800589</t>
  </si>
  <si>
    <t>9787548005896</t>
  </si>
  <si>
    <t>54880135</t>
  </si>
  <si>
    <t>9787548801351</t>
  </si>
  <si>
    <t>濟南</t>
  </si>
  <si>
    <t>54880171</t>
  </si>
  <si>
    <t>9787548801719</t>
  </si>
  <si>
    <t>54880231</t>
  </si>
  <si>
    <t>9787548802310</t>
  </si>
  <si>
    <t>郭鳳喜</t>
  </si>
  <si>
    <t>54950007</t>
  </si>
  <si>
    <t>9787549500079</t>
  </si>
  <si>
    <t>章太炎</t>
  </si>
  <si>
    <t>廣西師大</t>
  </si>
  <si>
    <t>54950583</t>
  </si>
  <si>
    <t>9787549505838</t>
  </si>
  <si>
    <t>朱青生主編</t>
  </si>
  <si>
    <t>55050489</t>
  </si>
  <si>
    <t>9787550504898</t>
  </si>
  <si>
    <t>55150041</t>
  </si>
  <si>
    <t>9787551500418</t>
  </si>
  <si>
    <t>55150042</t>
  </si>
  <si>
    <t>9787551500425</t>
  </si>
  <si>
    <t>55150043</t>
  </si>
  <si>
    <t>9787551500432</t>
  </si>
  <si>
    <t>55150044</t>
  </si>
  <si>
    <t>9787551500449</t>
  </si>
  <si>
    <t>55150358</t>
  </si>
  <si>
    <t>9787551503587</t>
  </si>
  <si>
    <t>55150360</t>
  </si>
  <si>
    <t>9787551503600</t>
  </si>
  <si>
    <t>55150466</t>
  </si>
  <si>
    <t>9787551504669</t>
  </si>
  <si>
    <t>55150467</t>
  </si>
  <si>
    <t>9787551504676</t>
  </si>
  <si>
    <t>55150468</t>
  </si>
  <si>
    <t>9787551504683</t>
  </si>
  <si>
    <t>55150469</t>
  </si>
  <si>
    <t>9787551504690</t>
  </si>
  <si>
    <t>55150470</t>
  </si>
  <si>
    <t>9787551504706</t>
  </si>
  <si>
    <t>55150471</t>
  </si>
  <si>
    <t>9787551504713</t>
  </si>
  <si>
    <t>55150472</t>
  </si>
  <si>
    <t>9787551504720</t>
  </si>
  <si>
    <t>55150473</t>
  </si>
  <si>
    <t>9787551504737</t>
  </si>
  <si>
    <t>55150474</t>
  </si>
  <si>
    <t>9787551504744</t>
  </si>
  <si>
    <t>55150476</t>
  </si>
  <si>
    <t>9787551504768</t>
  </si>
  <si>
    <t>55150477</t>
  </si>
  <si>
    <t>9787551504775</t>
  </si>
  <si>
    <t>55150478</t>
  </si>
  <si>
    <t>9787551504782</t>
  </si>
  <si>
    <t>55150479</t>
  </si>
  <si>
    <t>9787551504799</t>
  </si>
  <si>
    <t>55150480</t>
  </si>
  <si>
    <t>9787551504805</t>
  </si>
  <si>
    <t>55150481</t>
  </si>
  <si>
    <t>9787551504812</t>
  </si>
  <si>
    <t>55150482</t>
  </si>
  <si>
    <t>9787551504829</t>
  </si>
  <si>
    <t>55150483</t>
  </si>
  <si>
    <t>9787551504836</t>
  </si>
  <si>
    <t>55150484</t>
  </si>
  <si>
    <t>9787551504843</t>
  </si>
  <si>
    <t>55150486</t>
  </si>
  <si>
    <t>9787551504867</t>
  </si>
  <si>
    <t>55150487</t>
  </si>
  <si>
    <t>9787551504874</t>
  </si>
  <si>
    <t>55150488</t>
  </si>
  <si>
    <t>9787551504881</t>
  </si>
  <si>
    <t>55150490</t>
  </si>
  <si>
    <t>9787551504904</t>
  </si>
  <si>
    <t>55150491</t>
  </si>
  <si>
    <t>9787551504911</t>
  </si>
  <si>
    <t>55150492</t>
  </si>
  <si>
    <t>9787551504928</t>
  </si>
  <si>
    <t>55150493</t>
  </si>
  <si>
    <t>9787551504935</t>
  </si>
  <si>
    <t>55150651</t>
  </si>
  <si>
    <t>9787551506519</t>
  </si>
  <si>
    <t>55150863</t>
  </si>
  <si>
    <t>9787551508636</t>
  </si>
  <si>
    <t>55151059</t>
  </si>
  <si>
    <t>9787551510592</t>
  </si>
  <si>
    <t>55151649</t>
  </si>
  <si>
    <t>9787551516495</t>
  </si>
  <si>
    <t>55151650</t>
  </si>
  <si>
    <t>9787551516501</t>
  </si>
  <si>
    <t>55151708</t>
  </si>
  <si>
    <t>9787551517089</t>
  </si>
  <si>
    <t>55151710</t>
  </si>
  <si>
    <t>9787551517102</t>
  </si>
  <si>
    <t>55151712</t>
  </si>
  <si>
    <t>9787551517126</t>
  </si>
  <si>
    <t>55152041</t>
  </si>
  <si>
    <t>9787551520416</t>
  </si>
  <si>
    <t>55160055</t>
  </si>
  <si>
    <t>9787551600552</t>
  </si>
  <si>
    <t>山東省人民政府新聞辦公室</t>
  </si>
  <si>
    <t>山東友誼</t>
  </si>
  <si>
    <t>56006723</t>
  </si>
  <si>
    <t>9787560067230</t>
  </si>
  <si>
    <t>魯賓遜</t>
  </si>
  <si>
    <t>外語教研</t>
  </si>
  <si>
    <t>56014850</t>
  </si>
  <si>
    <t>9787560148502</t>
  </si>
  <si>
    <t>吳良寶. 著</t>
  </si>
  <si>
    <t>56014852</t>
  </si>
  <si>
    <t>9787560148526</t>
  </si>
  <si>
    <t>李鴻章-多視角換位元看晚清.從頭到腳細說李鴻章</t>
  </si>
  <si>
    <t>索洛維約夫</t>
  </si>
  <si>
    <t>56014968</t>
  </si>
  <si>
    <t>9787560149684</t>
  </si>
  <si>
    <t>張晨光</t>
  </si>
  <si>
    <t>吉林大學</t>
  </si>
  <si>
    <t>56015108</t>
  </si>
  <si>
    <t>9787560151083</t>
  </si>
  <si>
    <t>何國松</t>
  </si>
  <si>
    <t>56015371</t>
  </si>
  <si>
    <t>9787560153711</t>
  </si>
  <si>
    <t>金德喜</t>
  </si>
  <si>
    <t>56015605</t>
  </si>
  <si>
    <t>9787560156057</t>
  </si>
  <si>
    <t>季景書</t>
  </si>
  <si>
    <t>56053380</t>
  </si>
  <si>
    <t>9787560533803</t>
  </si>
  <si>
    <t>流珠著</t>
  </si>
  <si>
    <t>西安交大</t>
  </si>
  <si>
    <t>56053416</t>
  </si>
  <si>
    <t>9787560534169</t>
  </si>
  <si>
    <t>宗承灝. 編著</t>
  </si>
  <si>
    <t>56071493</t>
  </si>
  <si>
    <t>9787560714936</t>
  </si>
  <si>
    <t>田昌五著</t>
  </si>
  <si>
    <t>山東大學</t>
  </si>
  <si>
    <t>56072213</t>
  </si>
  <si>
    <t>9787560722139</t>
  </si>
  <si>
    <t>張可禮編著</t>
  </si>
  <si>
    <t>56083204</t>
  </si>
  <si>
    <t>7560832040</t>
  </si>
  <si>
    <t>同濟大學</t>
  </si>
  <si>
    <t>56094499</t>
  </si>
  <si>
    <t>9787560944999</t>
  </si>
  <si>
    <t>張君麗</t>
  </si>
  <si>
    <t>華中科技</t>
  </si>
  <si>
    <t>56096830</t>
  </si>
  <si>
    <t>9787560968308</t>
  </si>
  <si>
    <t>蘭曉麗</t>
  </si>
  <si>
    <t>56133783</t>
  </si>
  <si>
    <t>9787561337837</t>
  </si>
  <si>
    <t>史冷金</t>
  </si>
  <si>
    <t>陝西師大</t>
  </si>
  <si>
    <t>56134519</t>
  </si>
  <si>
    <t>9787561345191</t>
  </si>
  <si>
    <t>張雯媛</t>
  </si>
  <si>
    <t>56134668</t>
  </si>
  <si>
    <t>9787561346686</t>
  </si>
  <si>
    <t>鄧廣銘著</t>
  </si>
  <si>
    <t>56153046</t>
  </si>
  <si>
    <t>9787561530467</t>
  </si>
  <si>
    <t>長汀縣城鄉規劃建設局編</t>
  </si>
  <si>
    <t>廈門大學</t>
  </si>
  <si>
    <t>56153174</t>
  </si>
  <si>
    <t>9787561531747</t>
  </si>
  <si>
    <t>臺灣新世代詩歌研究</t>
  </si>
  <si>
    <t>王金城著</t>
  </si>
  <si>
    <t>56170207</t>
  </si>
  <si>
    <t>9787561702079</t>
  </si>
  <si>
    <t>林衍經</t>
  </si>
  <si>
    <t>華東師大</t>
  </si>
  <si>
    <t>56171613</t>
  </si>
  <si>
    <t>9787561716137</t>
  </si>
  <si>
    <t>林艾園</t>
  </si>
  <si>
    <t>56172042</t>
  </si>
  <si>
    <t>7561720424</t>
  </si>
  <si>
    <t>王亞樸</t>
  </si>
  <si>
    <t>56172331</t>
  </si>
  <si>
    <t>9787561723319</t>
  </si>
  <si>
    <t>戴逸如</t>
  </si>
  <si>
    <t>56174339</t>
  </si>
  <si>
    <t>7561743394</t>
  </si>
  <si>
    <t>黃雪媛</t>
  </si>
  <si>
    <t>56174364</t>
  </si>
  <si>
    <t>7561743645</t>
  </si>
  <si>
    <t>王兆勝</t>
  </si>
  <si>
    <t>56174520</t>
  </si>
  <si>
    <t>7561745206</t>
  </si>
  <si>
    <t>達爾伯格</t>
  </si>
  <si>
    <t>56174521</t>
  </si>
  <si>
    <t>7561745214</t>
  </si>
  <si>
    <t>本納</t>
  </si>
  <si>
    <t>56174536</t>
  </si>
  <si>
    <t>7561745362</t>
  </si>
  <si>
    <t>楊小華</t>
  </si>
  <si>
    <t>56174545</t>
  </si>
  <si>
    <t>7561745451</t>
  </si>
  <si>
    <t>瞿葆奎</t>
  </si>
  <si>
    <t>56174546</t>
  </si>
  <si>
    <t>756174546X</t>
  </si>
  <si>
    <t>謝安邦</t>
  </si>
  <si>
    <t>56174553</t>
  </si>
  <si>
    <t>7561745532</t>
  </si>
  <si>
    <t>邁爾斯</t>
  </si>
  <si>
    <t>56174590</t>
  </si>
  <si>
    <t>7561745907</t>
  </si>
  <si>
    <t>羅國振</t>
  </si>
  <si>
    <t>56174614</t>
  </si>
  <si>
    <t>7561746148</t>
  </si>
  <si>
    <t>56174816</t>
  </si>
  <si>
    <t>7561748167</t>
  </si>
  <si>
    <t>56176083</t>
  </si>
  <si>
    <t>9787561760833</t>
  </si>
  <si>
    <t>(美)大衛斯著</t>
  </si>
  <si>
    <t>56176109</t>
  </si>
  <si>
    <t>9787561761090</t>
  </si>
  <si>
    <t>(德)顧彬著</t>
  </si>
  <si>
    <t>56176372</t>
  </si>
  <si>
    <t>9787561763728</t>
  </si>
  <si>
    <t>周春健著</t>
  </si>
  <si>
    <t>56176442</t>
  </si>
  <si>
    <t>9787561764428</t>
  </si>
  <si>
    <t>杜素娟著</t>
  </si>
  <si>
    <t>56176758</t>
  </si>
  <si>
    <t>9787561767580</t>
  </si>
  <si>
    <t>徐中玉，郭豫適主編</t>
  </si>
  <si>
    <t>56213092</t>
  </si>
  <si>
    <t>7562130922</t>
  </si>
  <si>
    <t>田忠利</t>
  </si>
  <si>
    <t>西南師大</t>
  </si>
  <si>
    <t>56213297</t>
  </si>
  <si>
    <t>7562132976</t>
  </si>
  <si>
    <t>許俊</t>
  </si>
  <si>
    <t>56213408</t>
  </si>
  <si>
    <t>7562134081</t>
  </si>
  <si>
    <t>謝青</t>
  </si>
  <si>
    <t>56213881</t>
  </si>
  <si>
    <t>9787562138815</t>
  </si>
  <si>
    <t>胡文富</t>
  </si>
  <si>
    <t>56245202</t>
  </si>
  <si>
    <t>9787562452027</t>
  </si>
  <si>
    <t>趙欲舒</t>
  </si>
  <si>
    <t>重慶大學</t>
  </si>
  <si>
    <t>56245232</t>
  </si>
  <si>
    <t>9787562452324</t>
  </si>
  <si>
    <t>孫長初</t>
  </si>
  <si>
    <t>56245300</t>
  </si>
  <si>
    <t>9787562453000</t>
  </si>
  <si>
    <t>阿弩. 著</t>
  </si>
  <si>
    <t>56261730</t>
  </si>
  <si>
    <t>9787562617303</t>
  </si>
  <si>
    <t>李民華編</t>
  </si>
  <si>
    <t>56312082</t>
  </si>
  <si>
    <t>7563120823</t>
  </si>
  <si>
    <t>新疆大學</t>
  </si>
  <si>
    <t>56312093</t>
  </si>
  <si>
    <t>9787563120932</t>
  </si>
  <si>
    <t>56312189</t>
  </si>
  <si>
    <t>9787563121892</t>
  </si>
  <si>
    <t>56312255</t>
  </si>
  <si>
    <t>9787563122554</t>
  </si>
  <si>
    <t>56333881</t>
  </si>
  <si>
    <t>7563338810</t>
  </si>
  <si>
    <t>湯姆．帕特森 著</t>
  </si>
  <si>
    <t>56335072</t>
  </si>
  <si>
    <t>7563350721</t>
  </si>
  <si>
    <t>蔡瑭</t>
  </si>
  <si>
    <t>56335228</t>
  </si>
  <si>
    <t>7563352287</t>
  </si>
  <si>
    <t>天人和諧與人文重建：灕江流域文化底蘊與社會發展的審美人類學探</t>
  </si>
  <si>
    <t>覃德清</t>
  </si>
  <si>
    <t>56335533</t>
  </si>
  <si>
    <t>9787563355334</t>
  </si>
  <si>
    <t>河清</t>
  </si>
  <si>
    <t>廣西師範大</t>
  </si>
  <si>
    <t>56335840</t>
  </si>
  <si>
    <t>7563358404</t>
  </si>
  <si>
    <t>洛齊繪畫</t>
  </si>
  <si>
    <t>56336145</t>
  </si>
  <si>
    <t>7563361456</t>
  </si>
  <si>
    <t>沈津</t>
  </si>
  <si>
    <t>56336332</t>
  </si>
  <si>
    <t>7563363327</t>
  </si>
  <si>
    <t>王穎吉</t>
  </si>
  <si>
    <t>56336395</t>
  </si>
  <si>
    <t>7563363955</t>
  </si>
  <si>
    <t>56336611</t>
  </si>
  <si>
    <t>9787563366118</t>
  </si>
  <si>
    <t>(日)永田英正</t>
  </si>
  <si>
    <t>56336626</t>
  </si>
  <si>
    <t>9787563366262</t>
  </si>
  <si>
    <t>龍子仲</t>
  </si>
  <si>
    <t>56336639</t>
  </si>
  <si>
    <t>7563366393</t>
  </si>
  <si>
    <t>常大麟</t>
  </si>
  <si>
    <t>56336756</t>
  </si>
  <si>
    <t>9787563367566</t>
  </si>
  <si>
    <t>惜秋</t>
  </si>
  <si>
    <t>56336757</t>
  </si>
  <si>
    <t>9787563367573</t>
  </si>
  <si>
    <t>56337009</t>
  </si>
  <si>
    <t>9787563370092</t>
  </si>
  <si>
    <t>楊力</t>
  </si>
  <si>
    <t>56337561</t>
  </si>
  <si>
    <t>9787563375615</t>
  </si>
  <si>
    <t>王志敏</t>
  </si>
  <si>
    <t>56337564</t>
  </si>
  <si>
    <t>9787563375646</t>
  </si>
  <si>
    <t>邱振中</t>
  </si>
  <si>
    <t>56337565</t>
  </si>
  <si>
    <t>9787563375653</t>
  </si>
  <si>
    <t>王其鈞編</t>
  </si>
  <si>
    <t>56337727</t>
  </si>
  <si>
    <t>9787563377275</t>
  </si>
  <si>
    <t>楊希枚著</t>
  </si>
  <si>
    <t>56337747</t>
  </si>
  <si>
    <t>9787563377473</t>
  </si>
  <si>
    <t>易英 主編</t>
  </si>
  <si>
    <t>56337748</t>
  </si>
  <si>
    <t>9787563377480</t>
  </si>
  <si>
    <t>王曉寧</t>
  </si>
  <si>
    <t>56337749</t>
  </si>
  <si>
    <t>9787563377497</t>
  </si>
  <si>
    <t>賀西林</t>
  </si>
  <si>
    <t>56337767</t>
  </si>
  <si>
    <t>9787563377671</t>
  </si>
  <si>
    <t>56337768</t>
  </si>
  <si>
    <t>9787563377688</t>
  </si>
  <si>
    <t>碧荷館主人</t>
  </si>
  <si>
    <t>56337792</t>
  </si>
  <si>
    <t>9787563377923</t>
  </si>
  <si>
    <t>唐代文學會</t>
  </si>
  <si>
    <t>56338055</t>
  </si>
  <si>
    <t>9787563380558</t>
  </si>
  <si>
    <t>謝泳</t>
  </si>
  <si>
    <t>56338273</t>
  </si>
  <si>
    <t>9787563382736</t>
  </si>
  <si>
    <t>被誤讀的傳統</t>
  </si>
  <si>
    <t>韓起</t>
  </si>
  <si>
    <t>56338282</t>
  </si>
  <si>
    <t>9787563382828</t>
  </si>
  <si>
    <t>朱周斌</t>
  </si>
  <si>
    <t>56338326</t>
  </si>
  <si>
    <t>9787563383269</t>
  </si>
  <si>
    <t>賈志剛著</t>
  </si>
  <si>
    <t>56338466</t>
  </si>
  <si>
    <t>9787563384662</t>
  </si>
  <si>
    <t>任一鳴編著</t>
  </si>
  <si>
    <t>56338941</t>
  </si>
  <si>
    <t>9787563389414</t>
  </si>
  <si>
    <t>56339019</t>
  </si>
  <si>
    <t>9787563390199</t>
  </si>
  <si>
    <t>劉建軍</t>
  </si>
  <si>
    <t>56339090</t>
  </si>
  <si>
    <t>9787563390908</t>
  </si>
  <si>
    <t>車錫倫</t>
  </si>
  <si>
    <t>56339419</t>
  </si>
  <si>
    <t>9787563394197</t>
  </si>
  <si>
    <t>蔡子強</t>
  </si>
  <si>
    <t>56339695</t>
  </si>
  <si>
    <t>9787563396955</t>
  </si>
  <si>
    <t>王國維</t>
  </si>
  <si>
    <t>56339781</t>
  </si>
  <si>
    <t>9787563397815</t>
  </si>
  <si>
    <t>朱自清</t>
  </si>
  <si>
    <t>56339782</t>
  </si>
  <si>
    <t>9787563397822</t>
  </si>
  <si>
    <t>陳杜</t>
  </si>
  <si>
    <t>56339785</t>
  </si>
  <si>
    <t>9787563397853</t>
  </si>
  <si>
    <t>黃志華等</t>
  </si>
  <si>
    <t>56339792</t>
  </si>
  <si>
    <t>9787563397921</t>
  </si>
  <si>
    <t>56339793</t>
  </si>
  <si>
    <t>9787563397938</t>
  </si>
  <si>
    <t>56339863</t>
  </si>
  <si>
    <t>9787563398638</t>
  </si>
  <si>
    <t>鄭振鐸. 著</t>
  </si>
  <si>
    <t>56371276</t>
  </si>
  <si>
    <t>9787563712762</t>
  </si>
  <si>
    <t>張末</t>
  </si>
  <si>
    <t>旅遊教育</t>
  </si>
  <si>
    <t>56371288</t>
  </si>
  <si>
    <t>9787563712885</t>
  </si>
  <si>
    <t>李陽泉</t>
  </si>
  <si>
    <t>56371297</t>
  </si>
  <si>
    <t>9787563712977</t>
  </si>
  <si>
    <t>果美俠</t>
  </si>
  <si>
    <t>56391836</t>
  </si>
  <si>
    <t>9787563918362</t>
  </si>
  <si>
    <t>何新</t>
  </si>
  <si>
    <t>北京工大</t>
  </si>
  <si>
    <t>56392196</t>
  </si>
  <si>
    <t>9787563921966</t>
  </si>
  <si>
    <t>於懋</t>
  </si>
  <si>
    <t>56392266</t>
  </si>
  <si>
    <t>9787563922666</t>
  </si>
  <si>
    <t>唐河</t>
  </si>
  <si>
    <t>北工大</t>
  </si>
  <si>
    <t>56392417</t>
  </si>
  <si>
    <t>9787563924172</t>
  </si>
  <si>
    <t>56392418</t>
  </si>
  <si>
    <t>9787563924189</t>
  </si>
  <si>
    <t>56392437</t>
  </si>
  <si>
    <t>9787563924370</t>
  </si>
  <si>
    <t>朱五紅</t>
  </si>
  <si>
    <t>56403075</t>
  </si>
  <si>
    <t>9787564030759</t>
  </si>
  <si>
    <t>北京理工大</t>
  </si>
  <si>
    <t>56411016</t>
  </si>
  <si>
    <t>9787564110161</t>
  </si>
  <si>
    <t>吳國璋</t>
  </si>
  <si>
    <t>東南大學</t>
  </si>
  <si>
    <t>56411078</t>
  </si>
  <si>
    <t>9787564110789</t>
  </si>
  <si>
    <t>皋於厚</t>
  </si>
  <si>
    <t>56411442</t>
  </si>
  <si>
    <t>9787564114428</t>
  </si>
  <si>
    <t>江蘇省檔案館</t>
  </si>
  <si>
    <t>56411545</t>
  </si>
  <si>
    <t>9787564115456</t>
  </si>
  <si>
    <t>陳繪</t>
  </si>
  <si>
    <t>56412205</t>
  </si>
  <si>
    <t>9787564122058</t>
  </si>
  <si>
    <t>馬渭源. 著</t>
  </si>
  <si>
    <t>56500073</t>
  </si>
  <si>
    <t>9787565000737</t>
  </si>
  <si>
    <t>唐紅炬</t>
  </si>
  <si>
    <t>合肥工大</t>
  </si>
  <si>
    <t>56500146</t>
  </si>
  <si>
    <t>9787565001468</t>
  </si>
  <si>
    <t>張曉東著</t>
  </si>
  <si>
    <t>60101320</t>
  </si>
  <si>
    <t>7601013200</t>
  </si>
  <si>
    <t>阿英</t>
  </si>
  <si>
    <t>73011483</t>
  </si>
  <si>
    <t>9787301148327</t>
  </si>
  <si>
    <t>王耀路</t>
  </si>
  <si>
    <t>80047538</t>
  </si>
  <si>
    <t>9787800475382</t>
  </si>
  <si>
    <t>鄭欣淼</t>
  </si>
  <si>
    <t>紫禁城</t>
  </si>
  <si>
    <t>80047539</t>
  </si>
  <si>
    <t>9787800475399</t>
  </si>
  <si>
    <t>劉靜</t>
  </si>
  <si>
    <t>80047682</t>
  </si>
  <si>
    <t>9787800476822</t>
  </si>
  <si>
    <t>吳克敬著</t>
  </si>
  <si>
    <t>80047707</t>
  </si>
  <si>
    <t>9787800477072</t>
  </si>
  <si>
    <t>楊丹</t>
  </si>
  <si>
    <t>80047793</t>
  </si>
  <si>
    <t>9787800477935</t>
  </si>
  <si>
    <t>秦偉著</t>
  </si>
  <si>
    <t>80047797</t>
  </si>
  <si>
    <t>9787800477973</t>
  </si>
  <si>
    <t>80047825</t>
  </si>
  <si>
    <t>9787800478253</t>
  </si>
  <si>
    <t>齊吉祥</t>
  </si>
  <si>
    <t>80047844</t>
  </si>
  <si>
    <t>9787800478444</t>
  </si>
  <si>
    <t>孫實明</t>
  </si>
  <si>
    <t>80047845</t>
  </si>
  <si>
    <t>9787800478451</t>
  </si>
  <si>
    <t>胡建中</t>
  </si>
  <si>
    <t>80047852</t>
  </si>
  <si>
    <t>9787800478529</t>
  </si>
  <si>
    <t>80047854</t>
  </si>
  <si>
    <t>9787800478543</t>
  </si>
  <si>
    <t>80047855</t>
  </si>
  <si>
    <t>9787800478550</t>
  </si>
  <si>
    <t>80047901</t>
  </si>
  <si>
    <t>9787800479014</t>
  </si>
  <si>
    <t>劉潞</t>
  </si>
  <si>
    <t>80047954</t>
  </si>
  <si>
    <t>9787800479540</t>
  </si>
  <si>
    <t>樸人. 著</t>
  </si>
  <si>
    <t>80060266</t>
  </si>
  <si>
    <t>7800602664</t>
  </si>
  <si>
    <t>余江</t>
  </si>
  <si>
    <t>80060378</t>
  </si>
  <si>
    <t>7800603784</t>
  </si>
  <si>
    <t>梁錫鋒著</t>
  </si>
  <si>
    <t>80060424</t>
  </si>
  <si>
    <t>7800604241</t>
  </si>
  <si>
    <t>程方平</t>
  </si>
  <si>
    <t>80080654</t>
  </si>
  <si>
    <t>7800806545</t>
  </si>
  <si>
    <t>嘉興市文化廣電新聞出版局</t>
  </si>
  <si>
    <t>群言</t>
  </si>
  <si>
    <t>80080889</t>
  </si>
  <si>
    <t>9787800808890</t>
  </si>
  <si>
    <t>沈鈞儒</t>
  </si>
  <si>
    <t>80080894</t>
  </si>
  <si>
    <t>9787800808944</t>
  </si>
  <si>
    <t>麻星甫</t>
  </si>
  <si>
    <t>80080907</t>
  </si>
  <si>
    <t>9787800809071</t>
  </si>
  <si>
    <t>艾米</t>
  </si>
  <si>
    <t>80080935</t>
  </si>
  <si>
    <t>9787800809354</t>
  </si>
  <si>
    <t>張魯原</t>
  </si>
  <si>
    <t>80080989</t>
  </si>
  <si>
    <t>9787800809897</t>
  </si>
  <si>
    <t>于友</t>
  </si>
  <si>
    <t>80094241</t>
  </si>
  <si>
    <t>9787800942419</t>
  </si>
  <si>
    <t>黃斌著</t>
  </si>
  <si>
    <t>大眾文藝</t>
  </si>
  <si>
    <t>80103019</t>
  </si>
  <si>
    <t>7801030192</t>
  </si>
  <si>
    <t>王玉波</t>
  </si>
  <si>
    <t>商務國際</t>
  </si>
  <si>
    <t>80103036</t>
  </si>
  <si>
    <t>7801030362</t>
  </si>
  <si>
    <t>張紅善</t>
  </si>
  <si>
    <t>80105734</t>
  </si>
  <si>
    <t>7801057341</t>
  </si>
  <si>
    <t>佛洛德</t>
  </si>
  <si>
    <t>國際文化</t>
  </si>
  <si>
    <t>80106148</t>
  </si>
  <si>
    <t>7801061489</t>
  </si>
  <si>
    <t>線裝書局</t>
  </si>
  <si>
    <t>80106240</t>
  </si>
  <si>
    <t>780106240X</t>
  </si>
  <si>
    <t>80106392</t>
  </si>
  <si>
    <t>7801063929</t>
  </si>
  <si>
    <t>80106757</t>
  </si>
  <si>
    <t>9787801067579</t>
  </si>
  <si>
    <t>陳君慧</t>
  </si>
  <si>
    <t>80114851</t>
  </si>
  <si>
    <t>7801148517</t>
  </si>
  <si>
    <t>李鼎祚撰[唐]</t>
  </si>
  <si>
    <t>九州</t>
  </si>
  <si>
    <t>80115801</t>
  </si>
  <si>
    <t>7801158016</t>
  </si>
  <si>
    <t>馮政</t>
  </si>
  <si>
    <t>80116978</t>
  </si>
  <si>
    <t>李冬君</t>
  </si>
  <si>
    <t>學習</t>
  </si>
  <si>
    <t>80130969</t>
  </si>
  <si>
    <t>7801309693</t>
  </si>
  <si>
    <t>團結</t>
  </si>
  <si>
    <t>80140577</t>
  </si>
  <si>
    <t>9787801405777</t>
  </si>
  <si>
    <t>喬安山口述</t>
  </si>
  <si>
    <t>國家行政</t>
  </si>
  <si>
    <t>80145181</t>
  </si>
  <si>
    <t>9787801451811</t>
  </si>
  <si>
    <t>品讀三國（上中下）</t>
  </si>
  <si>
    <t>光明日報</t>
  </si>
  <si>
    <t>80145921</t>
  </si>
  <si>
    <t>7801459210</t>
  </si>
  <si>
    <t>黎娜</t>
  </si>
  <si>
    <t>80145946</t>
  </si>
  <si>
    <t>9787801459466</t>
  </si>
  <si>
    <t>張立浩</t>
  </si>
  <si>
    <t>80168556</t>
  </si>
  <si>
    <t>9787801685568</t>
  </si>
  <si>
    <t>王少華. 編著</t>
  </si>
  <si>
    <t>研究</t>
  </si>
  <si>
    <t>80168557</t>
  </si>
  <si>
    <t>9787801685575</t>
  </si>
  <si>
    <t>王平. 編著</t>
  </si>
  <si>
    <t>80168558</t>
  </si>
  <si>
    <t>9787801685582</t>
  </si>
  <si>
    <t>梁立中. 編著</t>
  </si>
  <si>
    <t>80168560</t>
  </si>
  <si>
    <t>9787801685605</t>
  </si>
  <si>
    <t>李躍華. 編著</t>
  </si>
  <si>
    <t>80168561</t>
  </si>
  <si>
    <t>9787801685612</t>
  </si>
  <si>
    <t>雷大豔. 編著</t>
  </si>
  <si>
    <t>80168563</t>
  </si>
  <si>
    <t>9787801685636</t>
  </si>
  <si>
    <t>張易柳. 編著</t>
  </si>
  <si>
    <t>80168565</t>
  </si>
  <si>
    <t>9787801685650</t>
  </si>
  <si>
    <t>張智輝. 編著</t>
  </si>
  <si>
    <t>80170668</t>
  </si>
  <si>
    <t>9787801706683</t>
  </si>
  <si>
    <t>劉緒義</t>
  </si>
  <si>
    <t>當代中國</t>
  </si>
  <si>
    <t>80170689</t>
  </si>
  <si>
    <t>9787801706898</t>
  </si>
  <si>
    <t>80170740</t>
  </si>
  <si>
    <t>9787801707406</t>
  </si>
  <si>
    <t>郭建著</t>
  </si>
  <si>
    <t>80170821</t>
  </si>
  <si>
    <t>9787801708212</t>
  </si>
  <si>
    <t>江上漁</t>
  </si>
  <si>
    <t>80170822</t>
  </si>
  <si>
    <t>9787801708229</t>
  </si>
  <si>
    <t>季濤</t>
  </si>
  <si>
    <t>80170824</t>
  </si>
  <si>
    <t>9787801708243</t>
  </si>
  <si>
    <t>丁世華著</t>
  </si>
  <si>
    <t>80170836</t>
  </si>
  <si>
    <t>9787801708366</t>
  </si>
  <si>
    <t>周鷹</t>
  </si>
  <si>
    <t>80170853</t>
  </si>
  <si>
    <t>9787801708533</t>
  </si>
  <si>
    <t>馬建安</t>
  </si>
  <si>
    <t>80170878</t>
  </si>
  <si>
    <t>9787801708786</t>
  </si>
  <si>
    <t>柯小衛</t>
  </si>
  <si>
    <t>80173854</t>
  </si>
  <si>
    <t>9787801738547</t>
  </si>
  <si>
    <t>魏風華</t>
  </si>
  <si>
    <t>80175909</t>
  </si>
  <si>
    <t>9787801759092</t>
  </si>
  <si>
    <t>80175996</t>
  </si>
  <si>
    <t>9787801759962</t>
  </si>
  <si>
    <t>司馬哲編著</t>
  </si>
  <si>
    <t>80178322</t>
  </si>
  <si>
    <t>7801783220</t>
  </si>
  <si>
    <t>大成</t>
  </si>
  <si>
    <t>華齡</t>
  </si>
  <si>
    <t>80178557</t>
  </si>
  <si>
    <t>9787801785572</t>
  </si>
  <si>
    <t>張學蒼</t>
  </si>
  <si>
    <t>80180122</t>
  </si>
  <si>
    <t>7801801229</t>
  </si>
  <si>
    <t>李鵬程</t>
  </si>
  <si>
    <t>經濟日報</t>
  </si>
  <si>
    <t>80186406</t>
  </si>
  <si>
    <t>7801864069</t>
  </si>
  <si>
    <t>黃霖</t>
  </si>
  <si>
    <t>80186480</t>
  </si>
  <si>
    <t>7801864808</t>
  </si>
  <si>
    <t>曾紀鑫</t>
  </si>
  <si>
    <t>80186551</t>
  </si>
  <si>
    <t>9787801865519</t>
  </si>
  <si>
    <t>東方出版</t>
  </si>
  <si>
    <t>80186825</t>
  </si>
  <si>
    <t>9787801868251</t>
  </si>
  <si>
    <t>儲兆文</t>
  </si>
  <si>
    <t>80186892</t>
  </si>
  <si>
    <t>林蘊暉</t>
  </si>
  <si>
    <t>80186908</t>
  </si>
  <si>
    <t>9787801869081</t>
  </si>
  <si>
    <t>陳祖武</t>
  </si>
  <si>
    <t>80186980</t>
  </si>
  <si>
    <t>9787801869807</t>
  </si>
  <si>
    <t>鄭時齡</t>
  </si>
  <si>
    <t>80186994</t>
  </si>
  <si>
    <t>9787801869944</t>
  </si>
  <si>
    <t>80188394</t>
  </si>
  <si>
    <t>9787801883940</t>
  </si>
  <si>
    <t>張克榮</t>
  </si>
  <si>
    <t>現代</t>
  </si>
  <si>
    <t>80188402</t>
  </si>
  <si>
    <t>9787801884022</t>
  </si>
  <si>
    <t>詞典的兩個世界</t>
  </si>
  <si>
    <t>網路與書編輯部</t>
  </si>
  <si>
    <t>80190846</t>
  </si>
  <si>
    <t>7801908465</t>
  </si>
  <si>
    <t>陸偉芳</t>
  </si>
  <si>
    <t>80190873</t>
  </si>
  <si>
    <t>7801908732</t>
  </si>
  <si>
    <t>80195628</t>
  </si>
  <si>
    <t>9787801956286</t>
  </si>
  <si>
    <t>曲彥斌</t>
  </si>
  <si>
    <t>80195790</t>
  </si>
  <si>
    <t>9787801957900</t>
  </si>
  <si>
    <t>張劍峰</t>
  </si>
  <si>
    <t>80195794</t>
  </si>
  <si>
    <t>9787801957948</t>
  </si>
  <si>
    <t>李文勇</t>
  </si>
  <si>
    <t>80195813</t>
  </si>
  <si>
    <t>9787801958136</t>
  </si>
  <si>
    <t>李峰</t>
  </si>
  <si>
    <t>80195815</t>
  </si>
  <si>
    <t>9787801958150</t>
  </si>
  <si>
    <t>?彥臣</t>
  </si>
  <si>
    <t>80195889</t>
  </si>
  <si>
    <t>9787801958891</t>
  </si>
  <si>
    <t>楚雙志</t>
  </si>
  <si>
    <t>80195921</t>
  </si>
  <si>
    <t>9787801959218</t>
  </si>
  <si>
    <t>王凱旋</t>
  </si>
  <si>
    <t>80195966</t>
  </si>
  <si>
    <t>9787801959669</t>
  </si>
  <si>
    <t>先鋒國家歷史雜誌社</t>
  </si>
  <si>
    <t>80198880</t>
  </si>
  <si>
    <t>9787801988805</t>
  </si>
  <si>
    <t>80199870</t>
  </si>
  <si>
    <t>9787801998705</t>
  </si>
  <si>
    <t>上海市寶山區檔案局編</t>
  </si>
  <si>
    <t>80204366</t>
  </si>
  <si>
    <t>9787802043664</t>
  </si>
  <si>
    <t>杜居遠</t>
  </si>
  <si>
    <t>長征</t>
  </si>
  <si>
    <t>80204619</t>
  </si>
  <si>
    <t>9787802046191</t>
  </si>
  <si>
    <t>月望東山. 著</t>
  </si>
  <si>
    <t>80206502</t>
  </si>
  <si>
    <t>9787802065024</t>
  </si>
  <si>
    <t>80206503</t>
  </si>
  <si>
    <t>9787802065031</t>
  </si>
  <si>
    <t>80206559</t>
  </si>
  <si>
    <t>9787802065598</t>
  </si>
  <si>
    <t>吳飛著</t>
  </si>
  <si>
    <t>80208534</t>
  </si>
  <si>
    <t>9787802085343</t>
  </si>
  <si>
    <t>熊曉正</t>
  </si>
  <si>
    <t>人民日報</t>
  </si>
  <si>
    <t>80208535</t>
  </si>
  <si>
    <t>9787802085350</t>
  </si>
  <si>
    <t>80208655</t>
  </si>
  <si>
    <t>9787802086555</t>
  </si>
  <si>
    <t>許海雲</t>
  </si>
  <si>
    <t>80210626</t>
  </si>
  <si>
    <t>9787802106260</t>
  </si>
  <si>
    <t>醉雁編</t>
  </si>
  <si>
    <t>西苑</t>
  </si>
  <si>
    <t>80210630</t>
  </si>
  <si>
    <t>9787802106307</t>
  </si>
  <si>
    <t>安凝柔編</t>
  </si>
  <si>
    <t>80210633</t>
  </si>
  <si>
    <t>9787802106338</t>
  </si>
  <si>
    <t>冰蘭編</t>
  </si>
  <si>
    <t>80210640</t>
  </si>
  <si>
    <t>9787802106406</t>
  </si>
  <si>
    <t>瑤初楓編</t>
  </si>
  <si>
    <t>80210658</t>
  </si>
  <si>
    <t>9787802106581</t>
  </si>
  <si>
    <t>蔣志華編</t>
  </si>
  <si>
    <t>80211581</t>
  </si>
  <si>
    <t>9787802115811</t>
  </si>
  <si>
    <t>專家委員會</t>
  </si>
  <si>
    <t>80211801</t>
  </si>
  <si>
    <t>9787802118010</t>
  </si>
  <si>
    <t>常秉義</t>
  </si>
  <si>
    <t>80211802</t>
  </si>
  <si>
    <t>9787802118027</t>
  </si>
  <si>
    <t>80211803</t>
  </si>
  <si>
    <t>9787802118034</t>
  </si>
  <si>
    <t>季羨林</t>
  </si>
  <si>
    <t>80211807</t>
  </si>
  <si>
    <t>9787802118072</t>
  </si>
  <si>
    <t>常鋒銳</t>
  </si>
  <si>
    <t>80213603</t>
  </si>
  <si>
    <t>9787802136038</t>
  </si>
  <si>
    <t>鄧明編著</t>
  </si>
  <si>
    <t>海潮</t>
  </si>
  <si>
    <t>80213684</t>
  </si>
  <si>
    <t>9787802136847</t>
  </si>
  <si>
    <t>郝朝陽</t>
  </si>
  <si>
    <t>80214282</t>
  </si>
  <si>
    <t>9787802142824</t>
  </si>
  <si>
    <t>仿佛</t>
  </si>
  <si>
    <t>80214321</t>
  </si>
  <si>
    <t>9787802143210</t>
  </si>
  <si>
    <t>陳華麗</t>
  </si>
  <si>
    <t>80214383B</t>
  </si>
  <si>
    <t>9787802143838</t>
  </si>
  <si>
    <t>80216593</t>
  </si>
  <si>
    <t>9787802165939</t>
  </si>
  <si>
    <t>中國方正</t>
  </si>
  <si>
    <t>80216600</t>
  </si>
  <si>
    <t>9787802166004</t>
  </si>
  <si>
    <t>耿文清. 主編</t>
  </si>
  <si>
    <t>80219597</t>
  </si>
  <si>
    <t>9787802195974</t>
  </si>
  <si>
    <t>孔健著</t>
  </si>
  <si>
    <t>中國民主</t>
  </si>
  <si>
    <t>80219640</t>
  </si>
  <si>
    <t>9787802196407</t>
  </si>
  <si>
    <t>張加才</t>
  </si>
  <si>
    <t>80219642</t>
  </si>
  <si>
    <t>9787802196421</t>
  </si>
  <si>
    <t>肖雁</t>
  </si>
  <si>
    <t>80219643</t>
  </si>
  <si>
    <t>9787802196438</t>
  </si>
  <si>
    <t>林存光</t>
  </si>
  <si>
    <t>80219644</t>
  </si>
  <si>
    <t>9787802196445</t>
  </si>
  <si>
    <t>朱嵐</t>
  </si>
  <si>
    <t>80220641</t>
  </si>
  <si>
    <t>9787802206410</t>
  </si>
  <si>
    <t>朱中澍</t>
  </si>
  <si>
    <t>中國畫報</t>
  </si>
  <si>
    <t>80220742</t>
  </si>
  <si>
    <t>9787802207424</t>
  </si>
  <si>
    <t>80221576</t>
  </si>
  <si>
    <t>9787802215764</t>
  </si>
  <si>
    <t>邢群麟</t>
  </si>
  <si>
    <t>時代經濟</t>
  </si>
  <si>
    <t>80222046</t>
  </si>
  <si>
    <t>7802220467</t>
  </si>
  <si>
    <t>蘇醒</t>
  </si>
  <si>
    <t>80222313</t>
  </si>
  <si>
    <t>9787802223134</t>
  </si>
  <si>
    <t>薑城</t>
  </si>
  <si>
    <t>80222314</t>
  </si>
  <si>
    <t>9787802223141</t>
  </si>
  <si>
    <t>80222519</t>
  </si>
  <si>
    <t>9787802225190</t>
  </si>
  <si>
    <t>安心竟</t>
  </si>
  <si>
    <t>80222610</t>
  </si>
  <si>
    <t>9787802226104</t>
  </si>
  <si>
    <t>王宗仁</t>
  </si>
  <si>
    <t>80223325</t>
  </si>
  <si>
    <t>9787802233256</t>
  </si>
  <si>
    <t>夏于全</t>
  </si>
  <si>
    <t>中國三峽</t>
  </si>
  <si>
    <t>80223371</t>
  </si>
  <si>
    <t>9787802233713</t>
  </si>
  <si>
    <t>魏晉風</t>
  </si>
  <si>
    <t>80223583</t>
  </si>
  <si>
    <t>9787802235830</t>
  </si>
  <si>
    <t>80225875</t>
  </si>
  <si>
    <t>9787802258754</t>
  </si>
  <si>
    <t>王靜</t>
  </si>
  <si>
    <t>新星</t>
  </si>
  <si>
    <t>80228490</t>
  </si>
  <si>
    <t>9787802284906</t>
  </si>
  <si>
    <t>藍天</t>
  </si>
  <si>
    <t>80228599</t>
  </si>
  <si>
    <t>9787802285996</t>
  </si>
  <si>
    <t>司馬光</t>
  </si>
  <si>
    <t>80230124</t>
  </si>
  <si>
    <t>7802301246</t>
  </si>
  <si>
    <t>張美林</t>
  </si>
  <si>
    <t>80230181</t>
  </si>
  <si>
    <t>7802301815</t>
  </si>
  <si>
    <t>王瑞華著</t>
  </si>
  <si>
    <t>80230911</t>
  </si>
  <si>
    <t>9787802309111</t>
  </si>
  <si>
    <t>80232194</t>
  </si>
  <si>
    <t>9787802321946</t>
  </si>
  <si>
    <t>劉曉真</t>
  </si>
  <si>
    <t>時事</t>
  </si>
  <si>
    <t>80234143</t>
  </si>
  <si>
    <t>9787802341432</t>
  </si>
  <si>
    <t>陸胤</t>
  </si>
  <si>
    <t>中國發展</t>
  </si>
  <si>
    <t>80243444</t>
  </si>
  <si>
    <t>9787802434448</t>
  </si>
  <si>
    <t>晨楓</t>
  </si>
  <si>
    <t>航空工業</t>
  </si>
  <si>
    <t>80244096</t>
  </si>
  <si>
    <t>9787802440968</t>
  </si>
  <si>
    <t>黃志剛</t>
  </si>
  <si>
    <t>80244137</t>
  </si>
  <si>
    <t>9787802441378</t>
  </si>
  <si>
    <t>萬資姿</t>
  </si>
  <si>
    <t>80244212</t>
  </si>
  <si>
    <t>右手</t>
  </si>
  <si>
    <t>80244412</t>
  </si>
  <si>
    <t>9787802444126</t>
  </si>
  <si>
    <t>鄭鈞</t>
  </si>
  <si>
    <t>80244419</t>
  </si>
  <si>
    <t>9787802444195</t>
  </si>
  <si>
    <t>80244420</t>
  </si>
  <si>
    <t>9787802444201</t>
  </si>
  <si>
    <t>彭征</t>
  </si>
  <si>
    <t>80244421</t>
  </si>
  <si>
    <t>9787802444218</t>
  </si>
  <si>
    <t>劉豔靜</t>
  </si>
  <si>
    <t>80244535</t>
  </si>
  <si>
    <t>80244536</t>
  </si>
  <si>
    <t>盒子創造社</t>
  </si>
  <si>
    <t>80244580</t>
  </si>
  <si>
    <t>畢寶魁</t>
  </si>
  <si>
    <t>80244582</t>
  </si>
  <si>
    <t>傅威海</t>
  </si>
  <si>
    <t>80244583</t>
  </si>
  <si>
    <t>80244605</t>
  </si>
  <si>
    <t>胡勇</t>
  </si>
  <si>
    <t>80244627</t>
  </si>
  <si>
    <t>陳儒才</t>
  </si>
  <si>
    <t>80244645</t>
  </si>
  <si>
    <t>80244658</t>
  </si>
  <si>
    <t>9787802446588</t>
  </si>
  <si>
    <t>姜正成</t>
  </si>
  <si>
    <t>80247614</t>
  </si>
  <si>
    <t>9787802476141</t>
  </si>
  <si>
    <t>饒鴻競 等</t>
  </si>
  <si>
    <t>80251322</t>
  </si>
  <si>
    <t>9787802513228</t>
  </si>
  <si>
    <t>楊楠楠. 主編</t>
  </si>
  <si>
    <t>金城</t>
  </si>
  <si>
    <t>80251434</t>
  </si>
  <si>
    <t>9787802514348</t>
  </si>
  <si>
    <t>張揚. 編著</t>
  </si>
  <si>
    <t>80252196</t>
  </si>
  <si>
    <t>9787802521964</t>
  </si>
  <si>
    <t>金一南著</t>
  </si>
  <si>
    <t>華藝</t>
  </si>
  <si>
    <t>80254248</t>
  </si>
  <si>
    <t>9787802542488</t>
  </si>
  <si>
    <t>普正法師. 著</t>
  </si>
  <si>
    <t>宗教文化</t>
  </si>
  <si>
    <t>80501384</t>
  </si>
  <si>
    <t>9787805013848</t>
  </si>
  <si>
    <t>程長新</t>
  </si>
  <si>
    <t>北京美攝</t>
  </si>
  <si>
    <t>80504717</t>
  </si>
  <si>
    <t>9787805047171</t>
  </si>
  <si>
    <t>天津古籍</t>
  </si>
  <si>
    <t>80517103</t>
  </si>
  <si>
    <t>7805171033</t>
  </si>
  <si>
    <t>西泠印社</t>
  </si>
  <si>
    <t>80517820</t>
  </si>
  <si>
    <t>7805178208</t>
  </si>
  <si>
    <t>茅大為</t>
  </si>
  <si>
    <t>80518616</t>
  </si>
  <si>
    <t>7805186162</t>
  </si>
  <si>
    <t>季琳</t>
  </si>
  <si>
    <t>浙江古籍</t>
  </si>
  <si>
    <t>80526536</t>
  </si>
  <si>
    <t>9787805265360</t>
  </si>
  <si>
    <t>陳廣燕</t>
  </si>
  <si>
    <t>北京工美</t>
  </si>
  <si>
    <t>80526650</t>
  </si>
  <si>
    <t>9787805266503</t>
  </si>
  <si>
    <t>張金龍</t>
  </si>
  <si>
    <t>80526901</t>
  </si>
  <si>
    <t>9787805269016</t>
  </si>
  <si>
    <t>賈德江主編</t>
  </si>
  <si>
    <t>80526901A</t>
  </si>
  <si>
    <t>80526901B</t>
  </si>
  <si>
    <t>80532905</t>
  </si>
  <si>
    <t>9787805329055</t>
  </si>
  <si>
    <t>山東地圖</t>
  </si>
  <si>
    <t>80564873J</t>
  </si>
  <si>
    <t>7805648735</t>
  </si>
  <si>
    <t>簡宗梧</t>
  </si>
  <si>
    <t>80568381</t>
  </si>
  <si>
    <t>7805683816</t>
  </si>
  <si>
    <t>80568491</t>
  </si>
  <si>
    <t>9787805684918</t>
  </si>
  <si>
    <t>胡宗懋</t>
  </si>
  <si>
    <t>80568494</t>
  </si>
  <si>
    <t>9787805684949</t>
  </si>
  <si>
    <t>80588606</t>
  </si>
  <si>
    <t>7805886067</t>
  </si>
  <si>
    <t>葉舟</t>
  </si>
  <si>
    <t>80588628</t>
  </si>
  <si>
    <t>9787805886282</t>
  </si>
  <si>
    <t>程金城</t>
  </si>
  <si>
    <t>80588629</t>
  </si>
  <si>
    <t>9787805886626</t>
  </si>
  <si>
    <t>80588632</t>
  </si>
  <si>
    <t>9787805886329</t>
  </si>
  <si>
    <t>80588633</t>
  </si>
  <si>
    <t>9787805886336</t>
  </si>
  <si>
    <t>80601070</t>
  </si>
  <si>
    <t>780601070X</t>
  </si>
  <si>
    <t>遼寧畫報</t>
  </si>
  <si>
    <t>80601924</t>
  </si>
  <si>
    <t>9787806019245</t>
  </si>
  <si>
    <t>張久英</t>
  </si>
  <si>
    <t>80601925</t>
  </si>
  <si>
    <t>7806019251</t>
  </si>
  <si>
    <t>趙強編著</t>
  </si>
  <si>
    <t>80601949</t>
  </si>
  <si>
    <t>9787806019498</t>
  </si>
  <si>
    <t>瀋陽故宮博物院</t>
  </si>
  <si>
    <t>80602660</t>
  </si>
  <si>
    <t>7806026606</t>
  </si>
  <si>
    <t>寧波</t>
  </si>
  <si>
    <t>80627162</t>
  </si>
  <si>
    <t>7806271627</t>
  </si>
  <si>
    <t>何曉明</t>
  </si>
  <si>
    <t>80627389</t>
  </si>
  <si>
    <t>9787806273890</t>
  </si>
  <si>
    <t>汪湧豪</t>
  </si>
  <si>
    <t>80628962</t>
  </si>
  <si>
    <t>9787806289624</t>
  </si>
  <si>
    <t>三秦</t>
  </si>
  <si>
    <t>80629777</t>
  </si>
  <si>
    <t>7806297774</t>
  </si>
  <si>
    <t>謝元魯著</t>
  </si>
  <si>
    <t>80629990</t>
  </si>
  <si>
    <t>7806299904</t>
  </si>
  <si>
    <t>屈小強</t>
  </si>
  <si>
    <t>80643449</t>
  </si>
  <si>
    <t>7806434496</t>
  </si>
  <si>
    <t>郭明道</t>
  </si>
  <si>
    <t>江蘇古籍</t>
  </si>
  <si>
    <t>80643454</t>
  </si>
  <si>
    <t>7806434542</t>
  </si>
  <si>
    <t>董玉書</t>
  </si>
  <si>
    <t>80643457</t>
  </si>
  <si>
    <t>7806434577</t>
  </si>
  <si>
    <t>潘寶明</t>
  </si>
  <si>
    <t>80643458</t>
  </si>
  <si>
    <t>7806434585</t>
  </si>
  <si>
    <t>韋明華</t>
  </si>
  <si>
    <t>80643604</t>
  </si>
  <si>
    <t>7806436049</t>
  </si>
  <si>
    <t>徐良玉</t>
  </si>
  <si>
    <t>80643646</t>
  </si>
  <si>
    <t>7806436464</t>
  </si>
  <si>
    <t>吳子輝</t>
  </si>
  <si>
    <t>80643705</t>
  </si>
  <si>
    <t>7806437053</t>
  </si>
  <si>
    <t>王振世</t>
  </si>
  <si>
    <t>80643900</t>
  </si>
  <si>
    <t>7806439005</t>
  </si>
  <si>
    <t>[清]江標</t>
  </si>
  <si>
    <t>80646152</t>
  </si>
  <si>
    <t>7806461523</t>
  </si>
  <si>
    <t>尹繼佐</t>
  </si>
  <si>
    <t>山東畫報</t>
  </si>
  <si>
    <t>80647044</t>
  </si>
  <si>
    <t>9787806470442</t>
  </si>
  <si>
    <t>陳居淵</t>
  </si>
  <si>
    <t>百花洲文藝</t>
  </si>
  <si>
    <t>80647045</t>
  </si>
  <si>
    <t>9787806470459</t>
  </si>
  <si>
    <t>許總</t>
  </si>
  <si>
    <t>80647125</t>
  </si>
  <si>
    <t>9787806471258</t>
  </si>
  <si>
    <t>郭延禮</t>
  </si>
  <si>
    <t>80647245</t>
  </si>
  <si>
    <t>9787806472453</t>
  </si>
  <si>
    <t>劉松來</t>
  </si>
  <si>
    <t>80647338</t>
  </si>
  <si>
    <t>9787806473382</t>
  </si>
  <si>
    <t>饒龍隼</t>
  </si>
  <si>
    <t>80647341</t>
  </si>
  <si>
    <t>7806473416</t>
  </si>
  <si>
    <t>魏晉玄學與中國文學</t>
  </si>
  <si>
    <t>盧盛江</t>
  </si>
  <si>
    <t>80651329</t>
  </si>
  <si>
    <t>7806513299</t>
  </si>
  <si>
    <t>潘福晶</t>
  </si>
  <si>
    <t>羊城晚報</t>
  </si>
  <si>
    <t>80656577C</t>
  </si>
  <si>
    <t>7806565779</t>
  </si>
  <si>
    <t>吳承恩</t>
  </si>
  <si>
    <t>80656578A</t>
  </si>
  <si>
    <t>7806565787</t>
  </si>
  <si>
    <t>80656578B</t>
  </si>
  <si>
    <t>80656578C</t>
  </si>
  <si>
    <t>80656887A</t>
  </si>
  <si>
    <t>7806568875</t>
  </si>
  <si>
    <t>(明)吳承恩</t>
  </si>
  <si>
    <t>80656887B</t>
  </si>
  <si>
    <t>80656887C</t>
  </si>
  <si>
    <t>80656906A</t>
  </si>
  <si>
    <t>7806569065</t>
  </si>
  <si>
    <t>80656906B</t>
  </si>
  <si>
    <t>80656906C</t>
  </si>
  <si>
    <t>80658225</t>
  </si>
  <si>
    <t>7806582258</t>
  </si>
  <si>
    <t>80659564</t>
  </si>
  <si>
    <t>7806595643</t>
  </si>
  <si>
    <t>巴蜀書社</t>
  </si>
  <si>
    <t>80659732</t>
  </si>
  <si>
    <t>7806597328</t>
  </si>
  <si>
    <t>張紹誠</t>
  </si>
  <si>
    <t>80659740</t>
  </si>
  <si>
    <t>7806597409</t>
  </si>
  <si>
    <t>徐志福</t>
  </si>
  <si>
    <t>80659835</t>
  </si>
  <si>
    <t>7806598359</t>
  </si>
  <si>
    <t>李怡</t>
  </si>
  <si>
    <t>80659861</t>
  </si>
  <si>
    <t>7806598618</t>
  </si>
  <si>
    <t>成都市社會科學院</t>
  </si>
  <si>
    <t>80659879</t>
  </si>
  <si>
    <t>7806598790</t>
  </si>
  <si>
    <t>黎漢基</t>
  </si>
  <si>
    <t>80659880</t>
  </si>
  <si>
    <t>7806598804</t>
  </si>
  <si>
    <t>趙昌文</t>
  </si>
  <si>
    <t>80659923</t>
  </si>
  <si>
    <t>7806599231</t>
  </si>
  <si>
    <t>胡尚炯</t>
  </si>
  <si>
    <t>80659926</t>
  </si>
  <si>
    <t>7806599266</t>
  </si>
  <si>
    <t>林成西</t>
  </si>
  <si>
    <t>80659934</t>
  </si>
  <si>
    <t>7806599347</t>
  </si>
  <si>
    <t>甯南縣政協文史委員會編</t>
  </si>
  <si>
    <t>80663488</t>
  </si>
  <si>
    <t>9787806634882</t>
  </si>
  <si>
    <t>清·吳承仕</t>
  </si>
  <si>
    <t>80663632</t>
  </si>
  <si>
    <t>9787806636329</t>
  </si>
  <si>
    <t>完顏亮</t>
  </si>
  <si>
    <t>80663657</t>
  </si>
  <si>
    <t>9787806636572</t>
  </si>
  <si>
    <t>徐芹庭著</t>
  </si>
  <si>
    <t>80663669</t>
  </si>
  <si>
    <t>9787806636695</t>
  </si>
  <si>
    <t>80663764</t>
  </si>
  <si>
    <t>9787806637647</t>
  </si>
  <si>
    <t>彭利芝</t>
  </si>
  <si>
    <t>80663767</t>
  </si>
  <si>
    <t>9787806637678</t>
  </si>
  <si>
    <t>徐鑫著</t>
  </si>
  <si>
    <t>80663809</t>
  </si>
  <si>
    <t>9787806638095</t>
  </si>
  <si>
    <t>80663888</t>
  </si>
  <si>
    <t>9787806638880</t>
  </si>
  <si>
    <t>月望東山</t>
  </si>
  <si>
    <t>80665481</t>
  </si>
  <si>
    <t>780665481X</t>
  </si>
  <si>
    <t>柴煥波</t>
  </si>
  <si>
    <t>嶽麓書社</t>
  </si>
  <si>
    <t>80665493</t>
  </si>
  <si>
    <t>7806654933</t>
  </si>
  <si>
    <t>80665559</t>
  </si>
  <si>
    <t>780665559X</t>
  </si>
  <si>
    <t>章品鎮</t>
  </si>
  <si>
    <t>80665560</t>
  </si>
  <si>
    <t>7806655603</t>
  </si>
  <si>
    <t>和而不同</t>
  </si>
  <si>
    <t>辛豐年</t>
  </si>
  <si>
    <t>80665564</t>
  </si>
  <si>
    <t>7806655646</t>
  </si>
  <si>
    <t>子聰</t>
  </si>
  <si>
    <t>80665628</t>
  </si>
  <si>
    <t>7806656286</t>
  </si>
  <si>
    <t>張晨</t>
  </si>
  <si>
    <t>80665650</t>
  </si>
  <si>
    <t>7806656502</t>
  </si>
  <si>
    <t>王子云</t>
  </si>
  <si>
    <t>80665651</t>
  </si>
  <si>
    <t>7806656510</t>
  </si>
  <si>
    <t>王子雲</t>
  </si>
  <si>
    <t>80665752</t>
  </si>
  <si>
    <t>7806657525</t>
  </si>
  <si>
    <t>吉霞</t>
  </si>
  <si>
    <t>80665756</t>
  </si>
  <si>
    <t>7806657568</t>
  </si>
  <si>
    <t>張紅苗</t>
  </si>
  <si>
    <t>80665767</t>
  </si>
  <si>
    <t>9787806657676</t>
  </si>
  <si>
    <t>楊牧之</t>
  </si>
  <si>
    <t>80665780</t>
  </si>
  <si>
    <t>7806657800</t>
  </si>
  <si>
    <t>(宋)朱熹</t>
  </si>
  <si>
    <t>80665819</t>
  </si>
  <si>
    <t>780665819X</t>
  </si>
  <si>
    <t>湖南省文物考古研究所</t>
  </si>
  <si>
    <t>80665840</t>
  </si>
  <si>
    <t>7806658408</t>
  </si>
  <si>
    <t>彭先國</t>
  </si>
  <si>
    <t>80665843</t>
  </si>
  <si>
    <t>9787806658437</t>
  </si>
  <si>
    <t>大豐</t>
  </si>
  <si>
    <t>80672985</t>
  </si>
  <si>
    <t>7806729852</t>
  </si>
  <si>
    <t>上海書畫</t>
  </si>
  <si>
    <t>80673742</t>
  </si>
  <si>
    <t>9787806737422</t>
  </si>
  <si>
    <t>花山文藝</t>
  </si>
  <si>
    <t>80673746</t>
  </si>
  <si>
    <t>9787806737460</t>
  </si>
  <si>
    <t>劉後濱</t>
  </si>
  <si>
    <t>80673941</t>
  </si>
  <si>
    <t>9787806739419</t>
  </si>
  <si>
    <t>毛立坤</t>
  </si>
  <si>
    <t>80673942</t>
  </si>
  <si>
    <t>7806739424</t>
  </si>
  <si>
    <t>韓樹峰</t>
  </si>
  <si>
    <t>80674369</t>
  </si>
  <si>
    <t>7806743693</t>
  </si>
  <si>
    <t>李娟</t>
  </si>
  <si>
    <t>80674604</t>
  </si>
  <si>
    <t>7806746048</t>
  </si>
  <si>
    <t>關山月美術館</t>
  </si>
  <si>
    <t>80675763</t>
  </si>
  <si>
    <t>9787806757635</t>
  </si>
  <si>
    <t>趙鑫</t>
  </si>
  <si>
    <t>內蒙文化</t>
  </si>
  <si>
    <t>80676894</t>
  </si>
  <si>
    <t>7806768947</t>
  </si>
  <si>
    <t>張狂</t>
  </si>
  <si>
    <t>文彙</t>
  </si>
  <si>
    <t>80678465</t>
  </si>
  <si>
    <t>7806784659</t>
  </si>
  <si>
    <t>姜慶共</t>
  </si>
  <si>
    <t>80678509</t>
  </si>
  <si>
    <t>7806785094</t>
  </si>
  <si>
    <t>夏風</t>
  </si>
  <si>
    <t>80678537</t>
  </si>
  <si>
    <t>780678537X</t>
  </si>
  <si>
    <t>淩雅麗</t>
  </si>
  <si>
    <t>80678538</t>
  </si>
  <si>
    <t>7806785388</t>
  </si>
  <si>
    <t>80678751</t>
  </si>
  <si>
    <t>9787806787519</t>
  </si>
  <si>
    <t>陳永健</t>
  </si>
  <si>
    <t>80679379</t>
  </si>
  <si>
    <t>7806793798</t>
  </si>
  <si>
    <t>楊紅櫻</t>
  </si>
  <si>
    <t>接力</t>
  </si>
  <si>
    <t>80679461</t>
  </si>
  <si>
    <t>7806794611</t>
  </si>
  <si>
    <t>周橋</t>
  </si>
  <si>
    <t>80679484</t>
  </si>
  <si>
    <t>7806794840</t>
  </si>
  <si>
    <t>80679712</t>
  </si>
  <si>
    <t>7806797122</t>
  </si>
  <si>
    <t>80679718</t>
  </si>
  <si>
    <t>7806797181</t>
  </si>
  <si>
    <t>鄭春華</t>
  </si>
  <si>
    <t>80679720</t>
  </si>
  <si>
    <t>7806797203</t>
  </si>
  <si>
    <t>80679951</t>
  </si>
  <si>
    <t>7806799516</t>
  </si>
  <si>
    <t>80679960</t>
  </si>
  <si>
    <t>7806799605</t>
  </si>
  <si>
    <t>葛冰</t>
  </si>
  <si>
    <t>80679962</t>
  </si>
  <si>
    <t>7806799621</t>
  </si>
  <si>
    <t>80680644A</t>
  </si>
  <si>
    <t>9787806806449</t>
  </si>
  <si>
    <t>瀋陽唐伯虎</t>
  </si>
  <si>
    <t>太白文藝</t>
  </si>
  <si>
    <t>80681871</t>
  </si>
  <si>
    <t>7806818715</t>
  </si>
  <si>
    <t>柯林</t>
  </si>
  <si>
    <t>上海社科</t>
  </si>
  <si>
    <t>80684455</t>
  </si>
  <si>
    <t>7806844554</t>
  </si>
  <si>
    <t>黃濂</t>
  </si>
  <si>
    <t>大連</t>
  </si>
  <si>
    <t>80684971</t>
  </si>
  <si>
    <t>9787806849712</t>
  </si>
  <si>
    <t>大連市老年學學會、大連市慈善總會</t>
  </si>
  <si>
    <t>80685511</t>
  </si>
  <si>
    <t>7806855114</t>
  </si>
  <si>
    <t>陸建初</t>
  </si>
  <si>
    <t>上海畫報</t>
  </si>
  <si>
    <t>80685820</t>
  </si>
  <si>
    <t>9787806858202</t>
  </si>
  <si>
    <t>行走中國:消逝中的風情--藏地手藝</t>
  </si>
  <si>
    <t>陳丹</t>
  </si>
  <si>
    <t>80685880</t>
  </si>
  <si>
    <t>9787806858806</t>
  </si>
  <si>
    <t>朱敏彥</t>
  </si>
  <si>
    <t>80686155</t>
  </si>
  <si>
    <t>7806861556</t>
  </si>
  <si>
    <t>許孫</t>
  </si>
  <si>
    <t>浙江攝影</t>
  </si>
  <si>
    <t>80686258</t>
  </si>
  <si>
    <t>7806862587</t>
  </si>
  <si>
    <t>80686274</t>
  </si>
  <si>
    <t>7806862749</t>
  </si>
  <si>
    <t>80686721</t>
  </si>
  <si>
    <t>9787806867211</t>
  </si>
  <si>
    <t>王旭烽</t>
  </si>
  <si>
    <t>80689574E</t>
  </si>
  <si>
    <t>7806895744</t>
  </si>
  <si>
    <t>珠海</t>
  </si>
  <si>
    <t>80689574F</t>
  </si>
  <si>
    <t>80690138</t>
  </si>
  <si>
    <t>7806901388</t>
  </si>
  <si>
    <t>陳政</t>
  </si>
  <si>
    <t>80690370</t>
  </si>
  <si>
    <t>7806903704</t>
  </si>
  <si>
    <t>80690827</t>
  </si>
  <si>
    <t>7806908277</t>
  </si>
  <si>
    <t>閔小玲</t>
  </si>
  <si>
    <t>80691469</t>
  </si>
  <si>
    <t>9787806914694</t>
  </si>
  <si>
    <t>鄭偉</t>
  </si>
  <si>
    <t>海潮攝影</t>
  </si>
  <si>
    <t>80694057</t>
  </si>
  <si>
    <t>780694057X</t>
  </si>
  <si>
    <t>吳組緗</t>
  </si>
  <si>
    <t>80694111</t>
  </si>
  <si>
    <t>7806941118</t>
  </si>
  <si>
    <t>80694118</t>
  </si>
  <si>
    <t>7806941185</t>
  </si>
  <si>
    <t>黃繼林</t>
  </si>
  <si>
    <t>80694200</t>
  </si>
  <si>
    <t>7806942009</t>
  </si>
  <si>
    <t>沈慧蘭</t>
  </si>
  <si>
    <t>80694234</t>
  </si>
  <si>
    <t>9787806942345</t>
  </si>
  <si>
    <t>張振鏞</t>
  </si>
  <si>
    <t>80694302</t>
  </si>
  <si>
    <t>9787806943021</t>
  </si>
  <si>
    <t>陳垣著</t>
  </si>
  <si>
    <t>80694333</t>
  </si>
  <si>
    <t>9787806943335</t>
  </si>
  <si>
    <t>(宋)章如愚輯</t>
  </si>
  <si>
    <t>80694496</t>
  </si>
  <si>
    <t>9787806944967</t>
  </si>
  <si>
    <t>韋人</t>
  </si>
  <si>
    <t>80694498</t>
  </si>
  <si>
    <t>9787806944981</t>
  </si>
  <si>
    <t>李真</t>
  </si>
  <si>
    <t>80694499</t>
  </si>
  <si>
    <t>9787806944998</t>
  </si>
  <si>
    <t>鄭平</t>
  </si>
  <si>
    <t>80694503</t>
  </si>
  <si>
    <t>9787806945032</t>
  </si>
  <si>
    <t>80695651</t>
  </si>
  <si>
    <t>方帆/劉光平</t>
  </si>
  <si>
    <t>雲南美術</t>
  </si>
  <si>
    <t>80695651A</t>
  </si>
  <si>
    <t>趙曉鷹</t>
  </si>
  <si>
    <t>80695827</t>
  </si>
  <si>
    <t>9787806958278</t>
  </si>
  <si>
    <t>楊旭恒 羅寧</t>
  </si>
  <si>
    <t>80696359</t>
  </si>
  <si>
    <t>9787806963593</t>
  </si>
  <si>
    <t>浦江清</t>
  </si>
  <si>
    <t>80696396</t>
  </si>
  <si>
    <t>9787806963968</t>
  </si>
  <si>
    <t>汪少雲</t>
  </si>
  <si>
    <t>80696445</t>
  </si>
  <si>
    <t>9787806964453</t>
  </si>
  <si>
    <t>浦漢明</t>
  </si>
  <si>
    <t>80696481</t>
  </si>
  <si>
    <t>9787806964811</t>
  </si>
  <si>
    <t>張世斌</t>
  </si>
  <si>
    <t>80696524</t>
  </si>
  <si>
    <t>9787806965245</t>
  </si>
  <si>
    <t>浦漢明，彭書麟整理</t>
  </si>
  <si>
    <t>80696525</t>
  </si>
  <si>
    <t>9787806965252</t>
  </si>
  <si>
    <t>劉文濤</t>
  </si>
  <si>
    <t>80696572</t>
  </si>
  <si>
    <t>9787806965726</t>
  </si>
  <si>
    <t>高航</t>
  </si>
  <si>
    <t>80696606</t>
  </si>
  <si>
    <t>9787806966068</t>
  </si>
  <si>
    <t>鄭鶴聲</t>
  </si>
  <si>
    <t>80696692</t>
  </si>
  <si>
    <t>9787806966921</t>
  </si>
  <si>
    <t>崔雲勝</t>
  </si>
  <si>
    <t>80702669</t>
  </si>
  <si>
    <t>9787807026693</t>
  </si>
  <si>
    <t>神秘中國創作組</t>
  </si>
  <si>
    <t>80702672</t>
  </si>
  <si>
    <t>9787807026723</t>
  </si>
  <si>
    <t>80702673</t>
  </si>
  <si>
    <t>9787807026730</t>
  </si>
  <si>
    <t>80703149</t>
  </si>
  <si>
    <t>7807031492</t>
  </si>
  <si>
    <t>80703641</t>
  </si>
  <si>
    <t>9787807036418</t>
  </si>
  <si>
    <t>周天</t>
  </si>
  <si>
    <t>80703971</t>
  </si>
  <si>
    <t>9787807039716</t>
  </si>
  <si>
    <t>袁念琪著</t>
  </si>
  <si>
    <t>80706600</t>
  </si>
  <si>
    <t>9787807066002</t>
  </si>
  <si>
    <t>呂永泉</t>
  </si>
  <si>
    <t>80706618</t>
  </si>
  <si>
    <t>9787807066187</t>
  </si>
  <si>
    <t>陳漱渝</t>
  </si>
  <si>
    <t>80707914</t>
  </si>
  <si>
    <t>9787807079149</t>
  </si>
  <si>
    <t>楊和傑</t>
  </si>
  <si>
    <t>80710108</t>
  </si>
  <si>
    <t>9787807101086</t>
  </si>
  <si>
    <t>張潤武</t>
  </si>
  <si>
    <t>80710111</t>
  </si>
  <si>
    <t>9787807101116</t>
  </si>
  <si>
    <t>80710293</t>
  </si>
  <si>
    <t>9787807102939</t>
  </si>
  <si>
    <t>80710596</t>
  </si>
  <si>
    <t>9787807105961</t>
  </si>
  <si>
    <t>洪亮</t>
  </si>
  <si>
    <t>80710597</t>
  </si>
  <si>
    <t>9787807105978</t>
  </si>
  <si>
    <t>莊錫華</t>
  </si>
  <si>
    <t>80713213</t>
  </si>
  <si>
    <t>7807132132</t>
  </si>
  <si>
    <t>(元)薛景石</t>
  </si>
  <si>
    <t>80713457</t>
  </si>
  <si>
    <t>9787807134572</t>
  </si>
  <si>
    <t>袁庭棟</t>
  </si>
  <si>
    <t>80713655</t>
  </si>
  <si>
    <t>9787807136552</t>
  </si>
  <si>
    <t>陳建功傅光明</t>
  </si>
  <si>
    <t>80713714</t>
  </si>
  <si>
    <t>9787807137146</t>
  </si>
  <si>
    <t>黃美序</t>
  </si>
  <si>
    <t>80713796</t>
  </si>
  <si>
    <t>9787807137962</t>
  </si>
  <si>
    <t>朋星</t>
  </si>
  <si>
    <t>80715234</t>
  </si>
  <si>
    <t>9787807152347</t>
  </si>
  <si>
    <t>80715235</t>
  </si>
  <si>
    <t>9787807152354</t>
  </si>
  <si>
    <t>80715236</t>
  </si>
  <si>
    <t>9787807152361</t>
  </si>
  <si>
    <t>80715237</t>
  </si>
  <si>
    <t>9787807152378</t>
  </si>
  <si>
    <t>80715281</t>
  </si>
  <si>
    <t>9787807152811</t>
  </si>
  <si>
    <t>陳振濂</t>
  </si>
  <si>
    <t>80715374</t>
  </si>
  <si>
    <t>9787807153740</t>
  </si>
  <si>
    <t>80723499</t>
  </si>
  <si>
    <t>9787807234999</t>
  </si>
  <si>
    <t>遠方</t>
  </si>
  <si>
    <t>80724294</t>
  </si>
  <si>
    <t>7807242949</t>
  </si>
  <si>
    <t>京華</t>
  </si>
  <si>
    <t>80724298</t>
  </si>
  <si>
    <t>7807242981</t>
  </si>
  <si>
    <t>80724349B</t>
  </si>
  <si>
    <t>9787807243496</t>
  </si>
  <si>
    <t>盧定興</t>
  </si>
  <si>
    <t>80724349C</t>
  </si>
  <si>
    <t>80724349H</t>
  </si>
  <si>
    <t>80724607</t>
  </si>
  <si>
    <t>9787807246077</t>
  </si>
  <si>
    <t>羅蘭德著</t>
  </si>
  <si>
    <t>80725340</t>
  </si>
  <si>
    <t>9787807253402</t>
  </si>
  <si>
    <t>陳琪</t>
  </si>
  <si>
    <t>80725733</t>
  </si>
  <si>
    <t>9787807257332</t>
  </si>
  <si>
    <t>80725735</t>
  </si>
  <si>
    <t>9787807257356</t>
  </si>
  <si>
    <t>80725792</t>
  </si>
  <si>
    <t>9787807257929</t>
  </si>
  <si>
    <t>上海書畫出版社編</t>
  </si>
  <si>
    <t>80725800</t>
  </si>
  <si>
    <t>9787807258001</t>
  </si>
  <si>
    <t>80725801</t>
  </si>
  <si>
    <t>9787807258018</t>
  </si>
  <si>
    <t>80725804</t>
  </si>
  <si>
    <t>9787807258049</t>
  </si>
  <si>
    <t>80725805</t>
  </si>
  <si>
    <t>9787807258056</t>
  </si>
  <si>
    <t>80725806</t>
  </si>
  <si>
    <t>9787807258063</t>
  </si>
  <si>
    <t>80725811</t>
  </si>
  <si>
    <t>9787807258117</t>
  </si>
  <si>
    <t>80725812</t>
  </si>
  <si>
    <t>9787807258124</t>
  </si>
  <si>
    <t>80725814</t>
  </si>
  <si>
    <t>9787807258148</t>
  </si>
  <si>
    <t>80725815</t>
  </si>
  <si>
    <t>9787807258155</t>
  </si>
  <si>
    <t>80725816</t>
  </si>
  <si>
    <t>9787807258162</t>
  </si>
  <si>
    <t>80727008</t>
  </si>
  <si>
    <t>9787807270089</t>
  </si>
  <si>
    <t>80727202</t>
  </si>
  <si>
    <t>9787807272021</t>
  </si>
  <si>
    <t>80727532</t>
  </si>
  <si>
    <t>9787807275329</t>
  </si>
  <si>
    <t>80727649</t>
  </si>
  <si>
    <t>9787807276494</t>
  </si>
  <si>
    <t>80727814</t>
  </si>
  <si>
    <t>9787807278146</t>
  </si>
  <si>
    <t>80727815</t>
  </si>
  <si>
    <t>9787807278153</t>
  </si>
  <si>
    <t>80727948</t>
  </si>
  <si>
    <t>9787807279488</t>
  </si>
  <si>
    <t>80729005</t>
  </si>
  <si>
    <t>7807290056</t>
  </si>
  <si>
    <t>張興吉</t>
  </si>
  <si>
    <t>鳳凰</t>
  </si>
  <si>
    <t>80729335</t>
  </si>
  <si>
    <t>9787807293354</t>
  </si>
  <si>
    <t>高榮盛. 著</t>
  </si>
  <si>
    <t>80729352</t>
  </si>
  <si>
    <t>9787807293521</t>
  </si>
  <si>
    <t>劉尊明</t>
  </si>
  <si>
    <t>80729354</t>
  </si>
  <si>
    <t>9787807293545</t>
  </si>
  <si>
    <t>王兆鵬</t>
  </si>
  <si>
    <t>80729355</t>
  </si>
  <si>
    <t>9787807293552</t>
  </si>
  <si>
    <t>80729360</t>
  </si>
  <si>
    <t>9787807293606</t>
  </si>
  <si>
    <t>80729362</t>
  </si>
  <si>
    <t>9787807293620</t>
  </si>
  <si>
    <t>楊樹達講文言修辭(近代學術名家大講堂)</t>
  </si>
  <si>
    <t>楊樹達著</t>
  </si>
  <si>
    <t>80729363</t>
  </si>
  <si>
    <t>9787807293637</t>
  </si>
  <si>
    <t>蔣寅著</t>
  </si>
  <si>
    <t>80729364</t>
  </si>
  <si>
    <t>9787807293644</t>
  </si>
  <si>
    <t>吳梅著</t>
  </si>
  <si>
    <t>80729365</t>
  </si>
  <si>
    <t>9787807293651</t>
  </si>
  <si>
    <t>孟森著</t>
  </si>
  <si>
    <t>80729390</t>
  </si>
  <si>
    <t>9787807293903</t>
  </si>
  <si>
    <t>羅語</t>
  </si>
  <si>
    <t>80729393</t>
  </si>
  <si>
    <t>9787807293934</t>
  </si>
  <si>
    <t>廖康強</t>
  </si>
  <si>
    <t>80729394</t>
  </si>
  <si>
    <t>9787807293941</t>
  </si>
  <si>
    <t>陳果夫</t>
  </si>
  <si>
    <t>80729401</t>
  </si>
  <si>
    <t>9787807294016</t>
  </si>
  <si>
    <t>周嘯天編著</t>
  </si>
  <si>
    <t>80729473</t>
  </si>
  <si>
    <t>9787807294733</t>
  </si>
  <si>
    <t>困困</t>
  </si>
  <si>
    <t>80729626</t>
  </si>
  <si>
    <t>9787807296263</t>
  </si>
  <si>
    <t>紀玲妹</t>
  </si>
  <si>
    <t>80729825</t>
  </si>
  <si>
    <t>9787807298250</t>
  </si>
  <si>
    <t>塵洛若影</t>
  </si>
  <si>
    <t>80729826</t>
  </si>
  <si>
    <t>9787807298267</t>
  </si>
  <si>
    <t>80730189</t>
  </si>
  <si>
    <t>7807301899</t>
  </si>
  <si>
    <t>趙恒瑾</t>
  </si>
  <si>
    <t>學林</t>
  </si>
  <si>
    <t>80730843</t>
  </si>
  <si>
    <t>7807308430</t>
  </si>
  <si>
    <t>王    馗</t>
  </si>
  <si>
    <t>80732147</t>
  </si>
  <si>
    <t>7807321474</t>
  </si>
  <si>
    <t>冰波</t>
  </si>
  <si>
    <t>80732199</t>
  </si>
  <si>
    <t>7807321997</t>
  </si>
  <si>
    <t>80732200</t>
  </si>
  <si>
    <t>7807322004</t>
  </si>
  <si>
    <t>80732201</t>
  </si>
  <si>
    <t>7807322012</t>
  </si>
  <si>
    <t>80732202</t>
  </si>
  <si>
    <t>7807322020</t>
  </si>
  <si>
    <t>80733449</t>
  </si>
  <si>
    <t>9787807334491</t>
  </si>
  <si>
    <t>馬盛德</t>
  </si>
  <si>
    <t>古吳軒</t>
  </si>
  <si>
    <t>80735303</t>
  </si>
  <si>
    <t>9787807353034</t>
  </si>
  <si>
    <t>80735359</t>
  </si>
  <si>
    <t>80736118</t>
  </si>
  <si>
    <t>9787807361183</t>
  </si>
  <si>
    <t>韓理洲</t>
  </si>
  <si>
    <t>80736145</t>
  </si>
  <si>
    <t>9787807361459</t>
  </si>
  <si>
    <t>薛瑞生</t>
  </si>
  <si>
    <t>80736204</t>
  </si>
  <si>
    <t>9787807362043</t>
  </si>
  <si>
    <t>藝術文化史論考辨</t>
  </si>
  <si>
    <t>李青</t>
  </si>
  <si>
    <t>80736299</t>
  </si>
  <si>
    <t>9787807362999</t>
  </si>
  <si>
    <t>杜文玉</t>
  </si>
  <si>
    <t>80737660</t>
  </si>
  <si>
    <t>9787807376606</t>
  </si>
  <si>
    <t>孔?</t>
  </si>
  <si>
    <t>80739323</t>
  </si>
  <si>
    <t>9787807393238</t>
  </si>
  <si>
    <t>樂其麟編著</t>
  </si>
  <si>
    <t>中原農民</t>
  </si>
  <si>
    <t>80740122</t>
  </si>
  <si>
    <t>7807401222</t>
  </si>
  <si>
    <t>80740199</t>
  </si>
  <si>
    <t>9787807401995</t>
  </si>
  <si>
    <t>張晶著</t>
  </si>
  <si>
    <t>上海文化</t>
  </si>
  <si>
    <t>80740267</t>
  </si>
  <si>
    <t>9787807402671</t>
  </si>
  <si>
    <t>康晶</t>
  </si>
  <si>
    <t>80740409</t>
  </si>
  <si>
    <t>7807404095</t>
  </si>
  <si>
    <t>陳勤建</t>
  </si>
  <si>
    <t>80740572</t>
  </si>
  <si>
    <t>9787807405726</t>
  </si>
  <si>
    <t>沈怡萱. 編</t>
  </si>
  <si>
    <t>80741595</t>
  </si>
  <si>
    <t>9787807415954</t>
  </si>
  <si>
    <t>蔣勳</t>
  </si>
  <si>
    <t>80741937</t>
  </si>
  <si>
    <t>9787807419372</t>
  </si>
  <si>
    <t>潘知常</t>
  </si>
  <si>
    <t>80741947</t>
  </si>
  <si>
    <t>9787807419471</t>
  </si>
  <si>
    <t>慕容湮兒</t>
  </si>
  <si>
    <t>80742039</t>
  </si>
  <si>
    <t>7807420391</t>
  </si>
  <si>
    <t>田本相</t>
  </si>
  <si>
    <t>80742167</t>
  </si>
  <si>
    <t>9787807421672</t>
  </si>
  <si>
    <t>鄧福星</t>
  </si>
  <si>
    <t>80742179</t>
  </si>
  <si>
    <t>9787807421795</t>
  </si>
  <si>
    <t>舒大豐</t>
  </si>
  <si>
    <t>80742297</t>
  </si>
  <si>
    <t>9787807422976</t>
  </si>
  <si>
    <t>王亞菲著</t>
  </si>
  <si>
    <t>80742462</t>
  </si>
  <si>
    <t>9787807424628</t>
  </si>
  <si>
    <t>劉華</t>
  </si>
  <si>
    <t>80742539</t>
  </si>
  <si>
    <t>9787807425397</t>
  </si>
  <si>
    <t>吳越</t>
  </si>
  <si>
    <t>80742582</t>
  </si>
  <si>
    <t>9787807425823</t>
  </si>
  <si>
    <t>80742583</t>
  </si>
  <si>
    <t>9787807425830</t>
  </si>
  <si>
    <t>虹影</t>
  </si>
  <si>
    <t>80742584</t>
  </si>
  <si>
    <t>9787807425847</t>
  </si>
  <si>
    <t>巴金</t>
  </si>
  <si>
    <t>80742585</t>
  </si>
  <si>
    <t>9787807425854</t>
  </si>
  <si>
    <t>80742613</t>
  </si>
  <si>
    <t>9787807426134</t>
  </si>
  <si>
    <t>胡曉峰</t>
  </si>
  <si>
    <t>80742637</t>
  </si>
  <si>
    <t>9787807426370</t>
  </si>
  <si>
    <t>80742781</t>
  </si>
  <si>
    <t>9787807427810</t>
  </si>
  <si>
    <t>許暉著</t>
  </si>
  <si>
    <t>80742810</t>
  </si>
  <si>
    <t>9787807428107</t>
  </si>
  <si>
    <t>郝岩</t>
  </si>
  <si>
    <t>80742811</t>
  </si>
  <si>
    <t>9787807428114</t>
  </si>
  <si>
    <t>80742818</t>
  </si>
  <si>
    <t>9787807428183</t>
  </si>
  <si>
    <t>顏溶</t>
  </si>
  <si>
    <t>80742820</t>
  </si>
  <si>
    <t>9787807428206</t>
  </si>
  <si>
    <t>傅菲</t>
  </si>
  <si>
    <t>80742829</t>
  </si>
  <si>
    <t>9787807428299</t>
  </si>
  <si>
    <t>謝宇</t>
  </si>
  <si>
    <t>80742836</t>
  </si>
  <si>
    <t>9787807428367</t>
  </si>
  <si>
    <t>80742840</t>
  </si>
  <si>
    <t>9787807428404</t>
  </si>
  <si>
    <t>80742847</t>
  </si>
  <si>
    <t>9787807428473</t>
  </si>
  <si>
    <t>80742868</t>
  </si>
  <si>
    <t>9787807428688</t>
  </si>
  <si>
    <t>溫豔霞</t>
  </si>
  <si>
    <t>80742990</t>
  </si>
  <si>
    <t>9787807429906</t>
  </si>
  <si>
    <t>熊誠</t>
  </si>
  <si>
    <t>80744109</t>
  </si>
  <si>
    <t>9787807441090</t>
  </si>
  <si>
    <t>80744115</t>
  </si>
  <si>
    <t>9787807441151</t>
  </si>
  <si>
    <t>80744116</t>
  </si>
  <si>
    <t>9787807441168</t>
  </si>
  <si>
    <t>80744117</t>
  </si>
  <si>
    <t>9787807441175</t>
  </si>
  <si>
    <t>80744118</t>
  </si>
  <si>
    <t>9787807441182</t>
  </si>
  <si>
    <t>80744119</t>
  </si>
  <si>
    <t>9787807441199</t>
  </si>
  <si>
    <t>80744121</t>
  </si>
  <si>
    <t>9787807441212</t>
  </si>
  <si>
    <t>80744186</t>
  </si>
  <si>
    <t>9787807441861</t>
  </si>
  <si>
    <t>80744301</t>
  </si>
  <si>
    <t>9787807443018</t>
  </si>
  <si>
    <t>80745352</t>
  </si>
  <si>
    <t>9787807453529</t>
  </si>
  <si>
    <t>仝冰雪</t>
  </si>
  <si>
    <t>80745604</t>
  </si>
  <si>
    <t>9787807456049</t>
  </si>
  <si>
    <t>何聿光主編</t>
  </si>
  <si>
    <t>80745673</t>
  </si>
  <si>
    <t>9787807456735</t>
  </si>
  <si>
    <t>上海社會科學院房地產業研究中心. 上海市房產經濟學會. 編</t>
  </si>
  <si>
    <t>80745679</t>
  </si>
  <si>
    <t>9787807456797</t>
  </si>
  <si>
    <t>胡雅龍. 主編</t>
  </si>
  <si>
    <t>80745681</t>
  </si>
  <si>
    <t>9787807456810</t>
  </si>
  <si>
    <t>肯.沃爾夫</t>
  </si>
  <si>
    <t>80745692</t>
  </si>
  <si>
    <t>9787807456926</t>
  </si>
  <si>
    <t>金芳. 等著</t>
  </si>
  <si>
    <t>80745699</t>
  </si>
  <si>
    <t>9787807456995</t>
  </si>
  <si>
    <t>李軼海. 主編</t>
  </si>
  <si>
    <t>80746189</t>
  </si>
  <si>
    <t>7807461896</t>
  </si>
  <si>
    <t>中國美術館</t>
  </si>
  <si>
    <t>廣西美術</t>
  </si>
  <si>
    <t>80746713</t>
  </si>
  <si>
    <t>9787807467137</t>
  </si>
  <si>
    <t>廣西美術出版社美術館</t>
  </si>
  <si>
    <t>80749097</t>
  </si>
  <si>
    <t>7807490977</t>
  </si>
  <si>
    <t>尋勝蘭</t>
  </si>
  <si>
    <t>80749310</t>
  </si>
  <si>
    <t>9787807493105</t>
  </si>
  <si>
    <t>吳祚來</t>
  </si>
  <si>
    <t>80749414</t>
  </si>
  <si>
    <t>9787807494140</t>
  </si>
  <si>
    <t>楊建峰</t>
  </si>
  <si>
    <t>80749422</t>
  </si>
  <si>
    <t>9787807494225</t>
  </si>
  <si>
    <t>80749427</t>
  </si>
  <si>
    <t>9787807494270</t>
  </si>
  <si>
    <t>80752114</t>
  </si>
  <si>
    <t>9787807521143</t>
  </si>
  <si>
    <t>劉永華</t>
  </si>
  <si>
    <t>80752197</t>
  </si>
  <si>
    <t>9787807521976</t>
  </si>
  <si>
    <t>陳應鸞著</t>
  </si>
  <si>
    <t>80752233</t>
  </si>
  <si>
    <t>9787807522331</t>
  </si>
  <si>
    <t>鄭劍平</t>
  </si>
  <si>
    <t>80752307</t>
  </si>
  <si>
    <t>9787807523079</t>
  </si>
  <si>
    <t>後期"西昆派"研究"</t>
  </si>
  <si>
    <t>段麗萍</t>
  </si>
  <si>
    <t>80752358</t>
  </si>
  <si>
    <t>9787807523581</t>
  </si>
  <si>
    <t>劉傅鴻</t>
  </si>
  <si>
    <t>80752360</t>
  </si>
  <si>
    <t>7807523604</t>
  </si>
  <si>
    <t>賈順先等</t>
  </si>
  <si>
    <t>80752373</t>
  </si>
  <si>
    <t>7807523734</t>
  </si>
  <si>
    <t>岳凱華</t>
  </si>
  <si>
    <t>80752450</t>
  </si>
  <si>
    <t>9787807524502</t>
  </si>
  <si>
    <t>劉聰</t>
  </si>
  <si>
    <t>80752481</t>
  </si>
  <si>
    <t>9787807524816</t>
  </si>
  <si>
    <t>唐代興</t>
  </si>
  <si>
    <t>80752485</t>
  </si>
  <si>
    <t>9787807524854</t>
  </si>
  <si>
    <t>許興寶</t>
  </si>
  <si>
    <t>80752503</t>
  </si>
  <si>
    <t>9787807525035</t>
  </si>
  <si>
    <t>冉雲飛著</t>
  </si>
  <si>
    <t>80752538</t>
  </si>
  <si>
    <t>9787807525387</t>
  </si>
  <si>
    <t>曹方林</t>
  </si>
  <si>
    <t>80752539</t>
  </si>
  <si>
    <t>9787807525394</t>
  </si>
  <si>
    <t>羅鷺著</t>
  </si>
  <si>
    <t>80752543</t>
  </si>
  <si>
    <t>9787807525431</t>
  </si>
  <si>
    <t>王彤偉</t>
  </si>
  <si>
    <t>80752545</t>
  </si>
  <si>
    <t>9787807525455</t>
  </si>
  <si>
    <t>中國郭沫若研究會</t>
  </si>
  <si>
    <t>80752553</t>
  </si>
  <si>
    <t>9787807525530</t>
  </si>
  <si>
    <t>劉玉珺. 著</t>
  </si>
  <si>
    <t>80752558</t>
  </si>
  <si>
    <t>9787807525585</t>
  </si>
  <si>
    <t>羅國威著</t>
  </si>
  <si>
    <t>80752626</t>
  </si>
  <si>
    <t>9787807526261</t>
  </si>
  <si>
    <t>曾加榮. 著</t>
  </si>
  <si>
    <t>80752812</t>
  </si>
  <si>
    <t>9787807528128</t>
  </si>
  <si>
    <t>張忠</t>
  </si>
  <si>
    <t>80753095</t>
  </si>
  <si>
    <t>9787807530954</t>
  </si>
  <si>
    <t>孟曉輝 范明姬</t>
  </si>
  <si>
    <t>哈爾濱</t>
  </si>
  <si>
    <t>80753096</t>
  </si>
  <si>
    <t>9787807530961</t>
  </si>
  <si>
    <t>吳倩</t>
  </si>
  <si>
    <t>80753388</t>
  </si>
  <si>
    <t>9787807533887</t>
  </si>
  <si>
    <t>張薇</t>
  </si>
  <si>
    <t>80753426</t>
  </si>
  <si>
    <t>9787807534266</t>
  </si>
  <si>
    <t>韓守信</t>
  </si>
  <si>
    <t>80753606</t>
  </si>
  <si>
    <t>9787807536062</t>
  </si>
  <si>
    <t>吳倩編著</t>
  </si>
  <si>
    <t>80753608</t>
  </si>
  <si>
    <t>9787807536086</t>
  </si>
  <si>
    <t>肖左編著</t>
  </si>
  <si>
    <t>80753627</t>
  </si>
  <si>
    <t>9787807536277</t>
  </si>
  <si>
    <t>吳瓊編著</t>
  </si>
  <si>
    <t>80753636</t>
  </si>
  <si>
    <t>9787807536369</t>
  </si>
  <si>
    <t>倪雪編著</t>
  </si>
  <si>
    <t>80753642</t>
  </si>
  <si>
    <t>9787807536420</t>
  </si>
  <si>
    <t>包冬冬編著</t>
  </si>
  <si>
    <t>80753665</t>
  </si>
  <si>
    <t>9787807536659</t>
  </si>
  <si>
    <t>唐冉主編</t>
  </si>
  <si>
    <t>80753708</t>
  </si>
  <si>
    <t>9787807537083</t>
  </si>
  <si>
    <t>章小溪編著</t>
  </si>
  <si>
    <t>80753833</t>
  </si>
  <si>
    <t>9787807538332</t>
  </si>
  <si>
    <t>必爭之地古今軍事地理文化要覽</t>
  </si>
  <si>
    <t>孫超編著</t>
  </si>
  <si>
    <t>80755666</t>
  </si>
  <si>
    <t>9787807556664</t>
  </si>
  <si>
    <t>笑顏</t>
  </si>
  <si>
    <t>80755720</t>
  </si>
  <si>
    <t>9787807557203</t>
  </si>
  <si>
    <t>袁騰飛</t>
  </si>
  <si>
    <t>80757342</t>
  </si>
  <si>
    <t>9787807573425</t>
  </si>
  <si>
    <t>崔鍾雷</t>
  </si>
  <si>
    <t>吉林攝影</t>
  </si>
  <si>
    <t>80761069</t>
  </si>
  <si>
    <t>9787807610694</t>
  </si>
  <si>
    <t>王齊州</t>
  </si>
  <si>
    <t>80761186</t>
  </si>
  <si>
    <t>9787807611868</t>
  </si>
  <si>
    <t>葛劍雄</t>
  </si>
  <si>
    <t>80761219</t>
  </si>
  <si>
    <t>7807612193</t>
  </si>
  <si>
    <t>曾    軍</t>
  </si>
  <si>
    <t>80761239</t>
  </si>
  <si>
    <t>9787807612391</t>
  </si>
  <si>
    <t>安敏</t>
  </si>
  <si>
    <t>80761262</t>
  </si>
  <si>
    <t>9787807612629</t>
  </si>
  <si>
    <t>80761361</t>
  </si>
  <si>
    <t>9787807613619</t>
  </si>
  <si>
    <t>王齊州. 著</t>
  </si>
  <si>
    <t>80761416</t>
  </si>
  <si>
    <t>9787807614166</t>
  </si>
  <si>
    <t>劉彬彬</t>
  </si>
  <si>
    <t>80762492</t>
  </si>
  <si>
    <t>9787807624929</t>
  </si>
  <si>
    <t>劉訓練</t>
  </si>
  <si>
    <t>80762822</t>
  </si>
  <si>
    <t>9787807628224</t>
  </si>
  <si>
    <t>劉繼興</t>
  </si>
  <si>
    <t>80765289</t>
  </si>
  <si>
    <t>9787807652892</t>
  </si>
  <si>
    <t>宗沛妍. 著</t>
  </si>
  <si>
    <t>河南文藝</t>
  </si>
  <si>
    <t>80767375</t>
  </si>
  <si>
    <t>9787807673750</t>
  </si>
  <si>
    <t>解放著</t>
  </si>
  <si>
    <t>山西經濟</t>
  </si>
  <si>
    <t>81037865</t>
  </si>
  <si>
    <t>7810378651</t>
  </si>
  <si>
    <t>李保華</t>
  </si>
  <si>
    <t>蘇州大學</t>
  </si>
  <si>
    <t>81037866</t>
  </si>
  <si>
    <t>781037866X</t>
  </si>
  <si>
    <t>馬家鼎</t>
  </si>
  <si>
    <t>81050866</t>
  </si>
  <si>
    <t>7810508660</t>
  </si>
  <si>
    <t>張燕、王虹軍編著</t>
  </si>
  <si>
    <t>81064530A</t>
  </si>
  <si>
    <t>9787810645300</t>
  </si>
  <si>
    <t>楊學為</t>
  </si>
  <si>
    <t>首都師大</t>
  </si>
  <si>
    <t>81064530B</t>
  </si>
  <si>
    <t>81064530C</t>
  </si>
  <si>
    <t>81064530D</t>
  </si>
  <si>
    <t>81064530E</t>
  </si>
  <si>
    <t>81064920</t>
  </si>
  <si>
    <t>9787810649209</t>
  </si>
  <si>
    <t>胡雙寶著</t>
  </si>
  <si>
    <t>81085066</t>
  </si>
  <si>
    <t>7810850660</t>
  </si>
  <si>
    <t>鍾 濤編著</t>
  </si>
  <si>
    <t>廣播學院</t>
  </si>
  <si>
    <t>81085569</t>
  </si>
  <si>
    <t>7810855697</t>
  </si>
  <si>
    <t>張晶</t>
  </si>
  <si>
    <t>傳媒大學</t>
  </si>
  <si>
    <t>81091601</t>
  </si>
  <si>
    <t>9787810916011</t>
  </si>
  <si>
    <t>馬寶珠</t>
  </si>
  <si>
    <t>河南大學</t>
  </si>
  <si>
    <t>81091881</t>
  </si>
  <si>
    <t>9787810918817</t>
  </si>
  <si>
    <t>鄭先興</t>
  </si>
  <si>
    <t>81096115</t>
  </si>
  <si>
    <t>7810961152</t>
  </si>
  <si>
    <t>黃旭東</t>
  </si>
  <si>
    <t>中央音樂</t>
  </si>
  <si>
    <t>81096131</t>
  </si>
  <si>
    <t>7810961314</t>
  </si>
  <si>
    <t>居其宏</t>
  </si>
  <si>
    <t>81106274</t>
  </si>
  <si>
    <t>9787811062748</t>
  </si>
  <si>
    <t>端木賜香編著</t>
  </si>
  <si>
    <t>鄭州大學</t>
  </si>
  <si>
    <t>81110380</t>
  </si>
  <si>
    <t>9787811103809</t>
  </si>
  <si>
    <t>吳懷東</t>
  </si>
  <si>
    <t>安徽大學</t>
  </si>
  <si>
    <t>81110787</t>
  </si>
  <si>
    <t>9787811107876</t>
  </si>
  <si>
    <t>許俊松. 編著</t>
  </si>
  <si>
    <t>81115195</t>
  </si>
  <si>
    <t>9787811151954</t>
  </si>
  <si>
    <t>任月海</t>
  </si>
  <si>
    <t>內蒙大學</t>
  </si>
  <si>
    <t>81115628</t>
  </si>
  <si>
    <t>7811156287</t>
  </si>
  <si>
    <t>李波</t>
  </si>
  <si>
    <t>81118377</t>
  </si>
  <si>
    <t>9787811183771</t>
  </si>
  <si>
    <t>趙憲章</t>
  </si>
  <si>
    <t>上海大學</t>
  </si>
  <si>
    <t>81118392</t>
  </si>
  <si>
    <t>9787811183924</t>
  </si>
  <si>
    <t>吳建中</t>
  </si>
  <si>
    <t>81119251</t>
  </si>
  <si>
    <t>9787811192513</t>
  </si>
  <si>
    <t>李福順</t>
  </si>
  <si>
    <t>81119294</t>
  </si>
  <si>
    <t>9787811192940</t>
  </si>
  <si>
    <t>於弢</t>
  </si>
  <si>
    <t>81119424</t>
  </si>
  <si>
    <t>9787811194241</t>
  </si>
  <si>
    <t>81119505</t>
  </si>
  <si>
    <t>9787811195057</t>
  </si>
  <si>
    <t>王紅旗編</t>
  </si>
  <si>
    <t>81119534</t>
  </si>
  <si>
    <t>9787811195347</t>
  </si>
  <si>
    <t>王維玲</t>
  </si>
  <si>
    <t>81119538</t>
  </si>
  <si>
    <t>9787811195385</t>
  </si>
  <si>
    <t>徐柏容</t>
  </si>
  <si>
    <t>81119540</t>
  </si>
  <si>
    <t>9787811195408</t>
  </si>
  <si>
    <t>潘國彥</t>
  </si>
  <si>
    <t>81119754</t>
  </si>
  <si>
    <t>9787811197549</t>
  </si>
  <si>
    <t>張志忠</t>
  </si>
  <si>
    <t>81119756</t>
  </si>
  <si>
    <t>9787811197563</t>
  </si>
  <si>
    <t>聶震寧</t>
  </si>
  <si>
    <t>81119829</t>
  </si>
  <si>
    <t>9787811198294</t>
  </si>
  <si>
    <t>易鑫鼎</t>
  </si>
  <si>
    <t>81119840</t>
  </si>
  <si>
    <t>9787811198409</t>
  </si>
  <si>
    <t>石仲泉</t>
  </si>
  <si>
    <t>81119858</t>
  </si>
  <si>
    <t>9787811198584</t>
  </si>
  <si>
    <t>錢端升</t>
  </si>
  <si>
    <t>9787811248777</t>
  </si>
  <si>
    <t>蘇小和</t>
  </si>
  <si>
    <t>北京航大</t>
  </si>
  <si>
    <t>81127167</t>
  </si>
  <si>
    <t>9787811271676</t>
  </si>
  <si>
    <t>王昕</t>
  </si>
  <si>
    <t>81127685</t>
  </si>
  <si>
    <t>9787811276855</t>
  </si>
  <si>
    <t>徐文凱</t>
  </si>
  <si>
    <t>中國傳媒</t>
  </si>
  <si>
    <t>81127687</t>
  </si>
  <si>
    <t>9787811276879</t>
  </si>
  <si>
    <t>李彙群</t>
  </si>
  <si>
    <t>81127765</t>
  </si>
  <si>
    <t>9787811277654</t>
  </si>
  <si>
    <t>朱萍</t>
  </si>
  <si>
    <t>81135586</t>
  </si>
  <si>
    <t>9787811355864</t>
  </si>
  <si>
    <t>王大燕</t>
  </si>
  <si>
    <t>暨南大學</t>
  </si>
  <si>
    <t>886204661</t>
  </si>
  <si>
    <t>9787886204661</t>
  </si>
  <si>
    <t>新疆音像</t>
  </si>
  <si>
    <t>88620478</t>
  </si>
  <si>
    <t>9787886204784</t>
  </si>
  <si>
    <t>88620720</t>
  </si>
  <si>
    <t>9787886207204</t>
  </si>
  <si>
    <t>88620745</t>
  </si>
  <si>
    <t>9787886207457</t>
  </si>
  <si>
    <t>88620747</t>
  </si>
  <si>
    <t>9787886207471</t>
  </si>
  <si>
    <t>88620754</t>
  </si>
  <si>
    <t>9787886207549</t>
  </si>
  <si>
    <t>88620823</t>
  </si>
  <si>
    <t>9787886208232</t>
  </si>
  <si>
    <t>88620849</t>
  </si>
  <si>
    <t>9787886208492</t>
  </si>
  <si>
    <t>88622098</t>
  </si>
  <si>
    <t>7886220986</t>
  </si>
  <si>
    <t>88622180</t>
  </si>
  <si>
    <t>9787886221804</t>
  </si>
  <si>
    <t>90042491</t>
  </si>
  <si>
    <t>9787900424914</t>
  </si>
  <si>
    <t>90042497</t>
  </si>
  <si>
    <t>9787900424976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</si>
</sst>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_);[Red]\(0\)"/>
    <numFmt numFmtId="181" formatCode="0.00_);[Red]\(0.00\)"/>
    <numFmt numFmtId="182" formatCode="0.0_);[Red]\(0.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33" applyFont="1" applyBorder="1" applyAlignment="1">
      <alignment horizontal="center" vertical="center"/>
      <protection/>
    </xf>
    <xf numFmtId="0" fontId="37" fillId="0" borderId="11" xfId="0" applyFont="1" applyBorder="1" applyAlignment="1">
      <alignment vertical="center"/>
    </xf>
    <xf numFmtId="0" fontId="37" fillId="0" borderId="12" xfId="33" applyFont="1" applyBorder="1" applyAlignment="1">
      <alignment horizontal="center" vertical="center"/>
      <protection/>
    </xf>
    <xf numFmtId="0" fontId="37" fillId="0" borderId="11" xfId="33" applyFont="1" applyBorder="1">
      <alignment vertical="center"/>
      <protection/>
    </xf>
    <xf numFmtId="0" fontId="37" fillId="0" borderId="11" xfId="33" applyFont="1" applyBorder="1" applyAlignment="1">
      <alignment horizontal="left" vertical="center"/>
      <protection/>
    </xf>
    <xf numFmtId="0" fontId="37" fillId="0" borderId="13" xfId="33" applyFont="1" applyBorder="1">
      <alignment vertical="center"/>
      <protection/>
    </xf>
    <xf numFmtId="0" fontId="37" fillId="0" borderId="12" xfId="33" applyFont="1" applyBorder="1" applyAlignment="1">
      <alignment horizontal="center" vertical="center"/>
      <protection/>
    </xf>
    <xf numFmtId="0" fontId="37" fillId="0" borderId="12" xfId="33" applyNumberFormat="1" applyFont="1" applyBorder="1" applyAlignment="1">
      <alignment horizontal="center" vertical="center"/>
      <protection/>
    </xf>
    <xf numFmtId="0" fontId="37" fillId="0" borderId="13" xfId="33" applyNumberFormat="1" applyFont="1" applyBorder="1">
      <alignment vertical="center"/>
      <protection/>
    </xf>
    <xf numFmtId="0" fontId="37" fillId="0" borderId="13" xfId="33" applyNumberFormat="1" applyFont="1" applyBorder="1">
      <alignment vertical="center"/>
      <protection/>
    </xf>
    <xf numFmtId="180" fontId="37" fillId="0" borderId="13" xfId="33" applyNumberFormat="1" applyFont="1" applyBorder="1">
      <alignment vertical="center"/>
      <protection/>
    </xf>
    <xf numFmtId="180" fontId="37" fillId="0" borderId="10" xfId="33" applyNumberFormat="1" applyFont="1" applyBorder="1" applyAlignment="1">
      <alignment horizontal="center" vertical="center"/>
      <protection/>
    </xf>
    <xf numFmtId="180" fontId="37" fillId="0" borderId="11" xfId="0" applyNumberFormat="1" applyFont="1" applyBorder="1" applyAlignment="1">
      <alignment vertical="center"/>
    </xf>
    <xf numFmtId="180" fontId="37" fillId="0" borderId="0" xfId="0" applyNumberFormat="1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9"/>
  <sheetViews>
    <sheetView tabSelected="1" zoomScalePageLayoutView="0" workbookViewId="0" topLeftCell="A1">
      <selection activeCell="I18" sqref="I18"/>
    </sheetView>
  </sheetViews>
  <sheetFormatPr defaultColWidth="9.00390625" defaultRowHeight="15.75"/>
  <cols>
    <col min="1" max="1" width="9.75390625" style="1" customWidth="1"/>
    <col min="2" max="2" width="11.25390625" style="15" customWidth="1"/>
    <col min="3" max="3" width="37.00390625" style="1" customWidth="1"/>
    <col min="4" max="4" width="14.125" style="1" customWidth="1"/>
    <col min="5" max="5" width="11.625" style="1" bestFit="1" customWidth="1"/>
    <col min="6" max="6" width="9.50390625" style="1" hidden="1" customWidth="1"/>
    <col min="7" max="7" width="6.25390625" style="1" customWidth="1"/>
    <col min="8" max="16384" width="9.00390625" style="1" customWidth="1"/>
  </cols>
  <sheetData>
    <row r="1" spans="1:7" ht="14.25">
      <c r="A1" s="2" t="s">
        <v>2231</v>
      </c>
      <c r="B1" s="13"/>
      <c r="C1" s="2" t="s">
        <v>2232</v>
      </c>
      <c r="D1" s="2" t="s">
        <v>2233</v>
      </c>
      <c r="E1" s="2" t="s">
        <v>1</v>
      </c>
      <c r="F1" s="2" t="s">
        <v>2234</v>
      </c>
      <c r="G1" s="2" t="s">
        <v>0</v>
      </c>
    </row>
    <row r="2" spans="1:7" ht="14.25">
      <c r="A2" s="3" t="str">
        <f>T("00931200")</f>
        <v>00931200</v>
      </c>
      <c r="B2" s="14" t="s">
        <v>2236</v>
      </c>
      <c r="C2" s="3" t="s">
        <v>12</v>
      </c>
      <c r="D2" s="3">
        <f>T("")</f>
      </c>
      <c r="E2" s="3">
        <f>T("")</f>
      </c>
      <c r="F2" s="3">
        <v>12</v>
      </c>
      <c r="G2" s="3">
        <v>72</v>
      </c>
    </row>
    <row r="3" spans="1:7" ht="14.25">
      <c r="A3" s="3" t="str">
        <f>T("00931200A")</f>
        <v>00931200A</v>
      </c>
      <c r="B3" s="14" t="s">
        <v>2236</v>
      </c>
      <c r="C3" s="3" t="s">
        <v>13</v>
      </c>
      <c r="D3" s="3">
        <f>T("")</f>
      </c>
      <c r="E3" s="3">
        <f>T("")</f>
      </c>
      <c r="F3" s="3">
        <v>12</v>
      </c>
      <c r="G3" s="3">
        <v>72</v>
      </c>
    </row>
    <row r="4" spans="1:7" ht="14.25">
      <c r="A4" s="3" t="str">
        <f>T("00931200B")</f>
        <v>00931200B</v>
      </c>
      <c r="B4" s="14" t="s">
        <v>2236</v>
      </c>
      <c r="C4" s="3" t="s">
        <v>14</v>
      </c>
      <c r="D4" s="3">
        <f>T("")</f>
      </c>
      <c r="E4" s="3">
        <f>T("")</f>
      </c>
      <c r="F4" s="3">
        <v>12</v>
      </c>
      <c r="G4" s="3">
        <v>72</v>
      </c>
    </row>
    <row r="5" spans="1:7" ht="14.25">
      <c r="A5" s="3" t="str">
        <f>T("01006019")</f>
        <v>01006019</v>
      </c>
      <c r="B5" s="14" t="s">
        <v>2240</v>
      </c>
      <c r="C5" s="3" t="s">
        <v>15</v>
      </c>
      <c r="D5" s="3" t="str">
        <f>T("周均平")</f>
        <v>周均平</v>
      </c>
      <c r="E5" s="3" t="str">
        <f>T("人民文學")</f>
        <v>人民文學</v>
      </c>
      <c r="F5" s="3">
        <v>48</v>
      </c>
      <c r="G5" s="3">
        <v>288</v>
      </c>
    </row>
    <row r="6" spans="1:7" ht="14.25">
      <c r="A6" s="3" t="str">
        <f>T("01006609")</f>
        <v>01006609</v>
      </c>
      <c r="B6" s="14" t="s">
        <v>2244</v>
      </c>
      <c r="C6" s="3" t="s">
        <v>16</v>
      </c>
      <c r="D6" s="3" t="str">
        <f>T("劉桂榮")</f>
        <v>劉桂榮</v>
      </c>
      <c r="E6" s="3" t="str">
        <f>T("人民")</f>
        <v>人民</v>
      </c>
      <c r="F6" s="3">
        <v>38</v>
      </c>
      <c r="G6" s="3">
        <v>228</v>
      </c>
    </row>
    <row r="7" spans="1:7" ht="14.25">
      <c r="A7" s="3" t="str">
        <f>T("01006634")</f>
        <v>01006634</v>
      </c>
      <c r="B7" s="14" t="s">
        <v>2248</v>
      </c>
      <c r="C7" s="3" t="s">
        <v>17</v>
      </c>
      <c r="D7" s="3" t="str">
        <f>T("黃梅波")</f>
        <v>黃梅波</v>
      </c>
      <c r="E7" s="3" t="str">
        <f>T("人民文學")</f>
        <v>人民文學</v>
      </c>
      <c r="F7" s="3">
        <v>39</v>
      </c>
      <c r="G7" s="3">
        <v>228</v>
      </c>
    </row>
    <row r="8" spans="1:7" ht="14.25">
      <c r="A8" s="3" t="str">
        <f>T("01006859")</f>
        <v>01006859</v>
      </c>
      <c r="B8" s="14">
        <v>9787010068596</v>
      </c>
      <c r="C8" s="3" t="s">
        <v>18</v>
      </c>
      <c r="D8" s="3" t="str">
        <f>T("鍾敬文主編")</f>
        <v>鍾敬文主編</v>
      </c>
      <c r="E8" s="3" t="str">
        <f>T("人民文學")</f>
        <v>人民文學</v>
      </c>
      <c r="F8" s="3">
        <v>70</v>
      </c>
      <c r="G8" s="3">
        <v>420</v>
      </c>
    </row>
    <row r="9" spans="1:7" ht="14.25">
      <c r="A9" s="3" t="str">
        <f>T("01006949")</f>
        <v>01006949</v>
      </c>
      <c r="B9" s="14">
        <v>9787010069494</v>
      </c>
      <c r="C9" s="3" t="s">
        <v>19</v>
      </c>
      <c r="D9" s="3" t="str">
        <f>T("張曉梅")</f>
        <v>張曉梅</v>
      </c>
      <c r="E9" s="3" t="str">
        <f>T("人民文學")</f>
        <v>人民文學</v>
      </c>
      <c r="F9" s="3">
        <v>48</v>
      </c>
      <c r="G9" s="3">
        <v>288</v>
      </c>
    </row>
    <row r="10" spans="1:7" ht="14.25">
      <c r="A10" s="3" t="str">
        <f>T("01007044")</f>
        <v>01007044</v>
      </c>
      <c r="B10" s="14" t="s">
        <v>2256</v>
      </c>
      <c r="C10" s="3" t="s">
        <v>20</v>
      </c>
      <c r="D10" s="3" t="str">
        <f>T("闞紅柳")</f>
        <v>闞紅柳</v>
      </c>
      <c r="E10" s="3" t="str">
        <f>T("人民文學")</f>
        <v>人民文學</v>
      </c>
      <c r="F10" s="3">
        <v>38</v>
      </c>
      <c r="G10" s="3">
        <v>228</v>
      </c>
    </row>
    <row r="11" spans="1:7" ht="14.25">
      <c r="A11" s="3" t="str">
        <f>T("01007103")</f>
        <v>01007103</v>
      </c>
      <c r="B11" s="14" t="s">
        <v>2259</v>
      </c>
      <c r="C11" s="3" t="s">
        <v>21</v>
      </c>
      <c r="D11" s="3" t="str">
        <f>T("梁啟超")</f>
        <v>梁啟超</v>
      </c>
      <c r="E11" s="3" t="str">
        <f>T("人民文學")</f>
        <v>人民文學</v>
      </c>
      <c r="F11" s="3">
        <v>39</v>
      </c>
      <c r="G11" s="3">
        <v>234</v>
      </c>
    </row>
    <row r="12" spans="1:7" ht="14.25">
      <c r="A12" s="3" t="str">
        <f>T("01007539")</f>
        <v>01007539</v>
      </c>
      <c r="B12" s="14" t="s">
        <v>2262</v>
      </c>
      <c r="C12" s="3" t="s">
        <v>22</v>
      </c>
      <c r="D12" s="3" t="str">
        <f>T("陸建華")</f>
        <v>陸建華</v>
      </c>
      <c r="E12" s="3" t="str">
        <f>T("人民文學")</f>
        <v>人民文學</v>
      </c>
      <c r="F12" s="3">
        <v>26</v>
      </c>
      <c r="G12" s="3">
        <v>156</v>
      </c>
    </row>
    <row r="13" spans="1:7" ht="14.25">
      <c r="A13" s="3" t="str">
        <f>T("01007599")</f>
        <v>01007599</v>
      </c>
      <c r="B13" s="14" t="s">
        <v>2265</v>
      </c>
      <c r="C13" s="3" t="s">
        <v>23</v>
      </c>
      <c r="D13" s="3" t="str">
        <f>T("董德福、史雲波")</f>
        <v>董德福、史雲波</v>
      </c>
      <c r="E13" s="3" t="str">
        <f>T("人民文學")</f>
        <v>人民文學</v>
      </c>
      <c r="F13" s="3">
        <v>48</v>
      </c>
      <c r="G13" s="3">
        <v>288</v>
      </c>
    </row>
    <row r="14" spans="1:7" ht="14.25">
      <c r="A14" s="3" t="str">
        <f>T("01007908")</f>
        <v>01007908</v>
      </c>
      <c r="B14" s="14" t="s">
        <v>2268</v>
      </c>
      <c r="C14" s="3" t="s">
        <v>24</v>
      </c>
      <c r="D14" s="3" t="str">
        <f>T("方紅梅著")</f>
        <v>方紅梅著</v>
      </c>
      <c r="E14" s="3" t="str">
        <f>T("人民文學")</f>
        <v>人民文學</v>
      </c>
      <c r="F14" s="3">
        <v>39</v>
      </c>
      <c r="G14" s="3">
        <v>234</v>
      </c>
    </row>
    <row r="15" spans="1:7" ht="14.25">
      <c r="A15" s="3" t="str">
        <f>T("01008522")</f>
        <v>01008522</v>
      </c>
      <c r="B15" s="14" t="s">
        <v>2271</v>
      </c>
      <c r="C15" s="3" t="s">
        <v>25</v>
      </c>
      <c r="D15" s="3" t="str">
        <f>T("馮小祿著")</f>
        <v>馮小祿著</v>
      </c>
      <c r="E15" s="3" t="str">
        <f>T("人民文學")</f>
        <v>人民文學</v>
      </c>
      <c r="F15" s="3">
        <v>36</v>
      </c>
      <c r="G15" s="3">
        <v>216</v>
      </c>
    </row>
    <row r="16" spans="1:7" ht="14.25">
      <c r="A16" s="3" t="str">
        <f>T("01008551")</f>
        <v>01008551</v>
      </c>
      <c r="B16" s="14" t="s">
        <v>2274</v>
      </c>
      <c r="C16" s="3" t="s">
        <v>26</v>
      </c>
      <c r="D16" s="3" t="str">
        <f>T("中國移動通信聯合會課題組")</f>
        <v>中國移動通信聯合會課題組</v>
      </c>
      <c r="E16" s="3" t="str">
        <f>T("人民文學")</f>
        <v>人民文學</v>
      </c>
      <c r="F16" s="3">
        <v>55</v>
      </c>
      <c r="G16" s="3">
        <v>330</v>
      </c>
    </row>
    <row r="17" spans="1:7" ht="14.25">
      <c r="A17" s="3" t="str">
        <f>T("01008602")</f>
        <v>01008602</v>
      </c>
      <c r="B17" s="14" t="s">
        <v>2277</v>
      </c>
      <c r="C17" s="3" t="s">
        <v>27</v>
      </c>
      <c r="D17" s="3" t="str">
        <f>T("王崗.傅秋爽主編")</f>
        <v>王崗.傅秋爽主編</v>
      </c>
      <c r="E17" s="3" t="str">
        <f>T("人民文學")</f>
        <v>人民文學</v>
      </c>
      <c r="F17" s="3">
        <v>60</v>
      </c>
      <c r="G17" s="3">
        <v>360</v>
      </c>
    </row>
    <row r="18" spans="1:7" ht="14.25">
      <c r="A18" s="3" t="str">
        <f>T("01008698")</f>
        <v>01008698</v>
      </c>
      <c r="B18" s="14" t="s">
        <v>2280</v>
      </c>
      <c r="C18" s="3" t="s">
        <v>28</v>
      </c>
      <c r="D18" s="3" t="str">
        <f>T("何建超 吳廣懷")</f>
        <v>何建超 吳廣懷</v>
      </c>
      <c r="E18" s="3" t="str">
        <f>T("人民文學")</f>
        <v>人民文學</v>
      </c>
      <c r="F18" s="3">
        <v>49.8</v>
      </c>
      <c r="G18" s="3">
        <v>299</v>
      </c>
    </row>
    <row r="19" spans="1:7" ht="14.25">
      <c r="A19" s="3" t="str">
        <f>T("01008711")</f>
        <v>01008711</v>
      </c>
      <c r="B19" s="14" t="s">
        <v>2283</v>
      </c>
      <c r="C19" s="3" t="s">
        <v>29</v>
      </c>
      <c r="D19" s="3" t="str">
        <f>T("姚賢玲")</f>
        <v>姚賢玲</v>
      </c>
      <c r="E19" s="3" t="str">
        <f>T("人民文學")</f>
        <v>人民文學</v>
      </c>
      <c r="F19" s="3">
        <v>48</v>
      </c>
      <c r="G19" s="3">
        <v>288</v>
      </c>
    </row>
    <row r="20" spans="1:7" ht="14.25">
      <c r="A20" s="3" t="str">
        <f>T("01008731")</f>
        <v>01008731</v>
      </c>
      <c r="B20" s="14" t="s">
        <v>2286</v>
      </c>
      <c r="C20" s="3" t="s">
        <v>11</v>
      </c>
      <c r="D20" s="3" t="str">
        <f>T("李傑. 著")</f>
        <v>李傑. 著</v>
      </c>
      <c r="E20" s="3" t="str">
        <f>T("人民文學")</f>
        <v>人民文學</v>
      </c>
      <c r="F20" s="3">
        <v>23</v>
      </c>
      <c r="G20" s="3">
        <v>138</v>
      </c>
    </row>
    <row r="21" spans="1:7" ht="14.25">
      <c r="A21" s="3" t="str">
        <f>T("01008876")</f>
        <v>01008876</v>
      </c>
      <c r="B21" s="14" t="s">
        <v>2289</v>
      </c>
      <c r="C21" s="3" t="s">
        <v>30</v>
      </c>
      <c r="D21" s="3" t="str">
        <f>T("邊家珍")</f>
        <v>邊家珍</v>
      </c>
      <c r="E21" s="3" t="str">
        <f>T("人民文學")</f>
        <v>人民文學</v>
      </c>
      <c r="F21" s="3">
        <v>45</v>
      </c>
      <c r="G21" s="3">
        <v>270</v>
      </c>
    </row>
    <row r="22" spans="1:7" ht="14.25">
      <c r="A22" s="3" t="str">
        <f>T("01009963")</f>
        <v>01009963</v>
      </c>
      <c r="B22" s="14" t="s">
        <v>2292</v>
      </c>
      <c r="C22" s="3" t="s">
        <v>9</v>
      </c>
      <c r="D22" s="3" t="str">
        <f>T("侯惠勤")</f>
        <v>侯惠勤</v>
      </c>
      <c r="E22" s="3" t="str">
        <f>T("人民文學")</f>
        <v>人民文學</v>
      </c>
      <c r="F22" s="3">
        <v>39</v>
      </c>
      <c r="G22" s="3">
        <v>234</v>
      </c>
    </row>
    <row r="23" spans="1:7" ht="14.25">
      <c r="A23" s="3" t="str">
        <f>T("02003096")</f>
        <v>02003096</v>
      </c>
      <c r="B23" s="14" t="s">
        <v>2295</v>
      </c>
      <c r="C23" s="3" t="s">
        <v>31</v>
      </c>
      <c r="D23" s="3" t="str">
        <f>T("端木蕻良")</f>
        <v>端木蕻良</v>
      </c>
      <c r="E23" s="3" t="str">
        <f>T("廣陵書社")</f>
        <v>廣陵書社</v>
      </c>
      <c r="F23" s="3">
        <v>90</v>
      </c>
      <c r="G23" s="3">
        <v>540</v>
      </c>
    </row>
    <row r="24" spans="1:7" ht="14.25">
      <c r="A24" s="3" t="str">
        <f>T("02003199")</f>
        <v>02003199</v>
      </c>
      <c r="B24" s="14" t="s">
        <v>2299</v>
      </c>
      <c r="C24" s="3" t="s">
        <v>32</v>
      </c>
      <c r="D24" s="3" t="str">
        <f>T("李存光")</f>
        <v>李存光</v>
      </c>
      <c r="E24" s="3" t="str">
        <f>T("人民文學")</f>
        <v>人民文學</v>
      </c>
      <c r="F24" s="3">
        <v>26</v>
      </c>
      <c r="G24" s="3">
        <v>156</v>
      </c>
    </row>
    <row r="25" spans="1:7" ht="14.25">
      <c r="A25" s="3" t="str">
        <f>T("02003346")</f>
        <v>02003346</v>
      </c>
      <c r="B25" s="14" t="s">
        <v>2302</v>
      </c>
      <c r="C25" s="3" t="s">
        <v>33</v>
      </c>
      <c r="D25" s="3" t="str">
        <f>T("顏鐵生")</f>
        <v>顏鐵生</v>
      </c>
      <c r="E25" s="3" t="str">
        <f>T("人民文學")</f>
        <v>人民文學</v>
      </c>
      <c r="F25" s="3">
        <v>14</v>
      </c>
      <c r="G25" s="3">
        <v>84</v>
      </c>
    </row>
    <row r="26" spans="1:7" ht="14.25">
      <c r="A26" s="3" t="str">
        <f>T("02003828")</f>
        <v>02003828</v>
      </c>
      <c r="B26" s="14" t="s">
        <v>2305</v>
      </c>
      <c r="C26" s="3" t="s">
        <v>34</v>
      </c>
      <c r="D26" s="3" t="str">
        <f>T("王璞")</f>
        <v>王璞</v>
      </c>
      <c r="E26" s="3" t="str">
        <f>T("人民文學")</f>
        <v>人民文學</v>
      </c>
      <c r="F26" s="3">
        <v>21</v>
      </c>
      <c r="G26" s="3">
        <v>126</v>
      </c>
    </row>
    <row r="27" spans="1:7" ht="14.25">
      <c r="A27" s="3" t="str">
        <f>T("02003843")</f>
        <v>02003843</v>
      </c>
      <c r="B27" s="14" t="s">
        <v>2308</v>
      </c>
      <c r="C27" s="3" t="s">
        <v>35</v>
      </c>
      <c r="D27" s="3" t="str">
        <f>T("劉克蘇")</f>
        <v>劉克蘇</v>
      </c>
      <c r="E27" s="3" t="str">
        <f>T("人民文學")</f>
        <v>人民文學</v>
      </c>
      <c r="F27" s="3">
        <v>30</v>
      </c>
      <c r="G27" s="3">
        <v>180</v>
      </c>
    </row>
    <row r="28" spans="1:7" ht="14.25">
      <c r="A28" s="3" t="str">
        <f>T("02004390")</f>
        <v>02004390</v>
      </c>
      <c r="B28" s="14" t="s">
        <v>2311</v>
      </c>
      <c r="C28" s="3" t="s">
        <v>36</v>
      </c>
      <c r="D28" s="3" t="str">
        <f>T("邵麗")</f>
        <v>邵麗</v>
      </c>
      <c r="E28" s="3" t="str">
        <f>T("人民文學")</f>
        <v>人民文學</v>
      </c>
      <c r="F28" s="3">
        <v>19.8</v>
      </c>
      <c r="G28" s="3">
        <v>119</v>
      </c>
    </row>
    <row r="29" spans="1:7" ht="14.25">
      <c r="A29" s="3" t="str">
        <f>T("02004406")</f>
        <v>02004406</v>
      </c>
      <c r="B29" s="14" t="s">
        <v>2314</v>
      </c>
      <c r="C29" s="3" t="s">
        <v>37</v>
      </c>
      <c r="D29" s="3" t="str">
        <f>T("南帆")</f>
        <v>南帆</v>
      </c>
      <c r="E29" s="3" t="str">
        <f>T("人民文學")</f>
        <v>人民文學</v>
      </c>
      <c r="F29" s="3">
        <v>21</v>
      </c>
      <c r="G29" s="3">
        <v>126</v>
      </c>
    </row>
    <row r="30" spans="1:7" ht="14.25">
      <c r="A30" s="3" t="str">
        <f>T("02004414")</f>
        <v>02004414</v>
      </c>
      <c r="B30" s="14" t="s">
        <v>2317</v>
      </c>
      <c r="C30" s="3" t="s">
        <v>38</v>
      </c>
      <c r="D30" s="3" t="str">
        <f>T("鄭文光")</f>
        <v>鄭文光</v>
      </c>
      <c r="E30" s="3" t="str">
        <f>T("人民文學")</f>
        <v>人民文學</v>
      </c>
      <c r="F30" s="3">
        <v>15</v>
      </c>
      <c r="G30" s="3">
        <v>90</v>
      </c>
    </row>
    <row r="31" spans="1:7" ht="14.25">
      <c r="A31" s="3" t="str">
        <f>T("02004415")</f>
        <v>02004415</v>
      </c>
      <c r="B31" s="14" t="s">
        <v>2320</v>
      </c>
      <c r="C31" s="3" t="s">
        <v>39</v>
      </c>
      <c r="D31" s="3" t="str">
        <f>T("鄭文光")</f>
        <v>鄭文光</v>
      </c>
      <c r="E31" s="3" t="str">
        <f>T("人民文學")</f>
        <v>人民文學</v>
      </c>
      <c r="F31" s="3">
        <v>14</v>
      </c>
      <c r="G31" s="3">
        <v>84</v>
      </c>
    </row>
    <row r="32" spans="1:7" ht="14.25">
      <c r="A32" s="3" t="str">
        <f>T("02004479")</f>
        <v>02004479</v>
      </c>
      <c r="B32" s="14" t="s">
        <v>2322</v>
      </c>
      <c r="C32" s="3" t="s">
        <v>40</v>
      </c>
      <c r="D32" s="3" t="str">
        <f>T("陳祖芬")</f>
        <v>陳祖芬</v>
      </c>
      <c r="E32" s="3" t="str">
        <f>T("人民文學")</f>
        <v>人民文學</v>
      </c>
      <c r="F32" s="3">
        <v>19</v>
      </c>
      <c r="G32" s="3">
        <v>114</v>
      </c>
    </row>
    <row r="33" spans="1:7" ht="14.25">
      <c r="A33" s="3" t="str">
        <f>T("02004581")</f>
        <v>02004581</v>
      </c>
      <c r="B33" s="14" t="s">
        <v>2325</v>
      </c>
      <c r="C33" s="3" t="s">
        <v>41</v>
      </c>
      <c r="D33" s="3" t="str">
        <f>T("徐小斌")</f>
        <v>徐小斌</v>
      </c>
      <c r="E33" s="3" t="str">
        <f>T("人民文學")</f>
        <v>人民文學</v>
      </c>
      <c r="F33" s="3">
        <v>18</v>
      </c>
      <c r="G33" s="3">
        <v>108</v>
      </c>
    </row>
    <row r="34" spans="1:7" ht="14.25">
      <c r="A34" s="3" t="str">
        <f>T("02004597")</f>
        <v>02004597</v>
      </c>
      <c r="B34" s="14" t="s">
        <v>2328</v>
      </c>
      <c r="C34" s="3" t="s">
        <v>42</v>
      </c>
      <c r="D34" s="3" t="str">
        <f>T("鄧一光")</f>
        <v>鄧一光</v>
      </c>
      <c r="E34" s="3" t="str">
        <f>T("人民文學")</f>
        <v>人民文學</v>
      </c>
      <c r="F34" s="3">
        <v>26</v>
      </c>
      <c r="G34" s="3">
        <v>156</v>
      </c>
    </row>
    <row r="35" spans="1:7" ht="14.25">
      <c r="A35" s="3" t="str">
        <f>T("02004641")</f>
        <v>02004641</v>
      </c>
      <c r="B35" s="14" t="s">
        <v>2331</v>
      </c>
      <c r="C35" s="3" t="s">
        <v>43</v>
      </c>
      <c r="D35" s="3" t="str">
        <f>T("孫慧芬")</f>
        <v>孫慧芬</v>
      </c>
      <c r="E35" s="3" t="str">
        <f>T("人民文學")</f>
        <v>人民文學</v>
      </c>
      <c r="F35" s="3">
        <v>24</v>
      </c>
      <c r="G35" s="3">
        <v>144</v>
      </c>
    </row>
    <row r="36" spans="1:7" ht="14.25">
      <c r="A36" s="3" t="str">
        <f>T("02004673")</f>
        <v>02004673</v>
      </c>
      <c r="B36" s="14" t="s">
        <v>2334</v>
      </c>
      <c r="C36" s="3" t="s">
        <v>44</v>
      </c>
      <c r="D36" s="3" t="str">
        <f>T("南帆")</f>
        <v>南帆</v>
      </c>
      <c r="E36" s="3" t="str">
        <f>T("人民文學")</f>
        <v>人民文學</v>
      </c>
      <c r="F36" s="3">
        <v>20</v>
      </c>
      <c r="G36" s="3">
        <v>120</v>
      </c>
    </row>
    <row r="37" spans="1:7" ht="14.25">
      <c r="A37" s="3" t="str">
        <f>T("02004708")</f>
        <v>02004708</v>
      </c>
      <c r="B37" s="14" t="s">
        <v>2336</v>
      </c>
      <c r="C37" s="3" t="s">
        <v>45</v>
      </c>
      <c r="D37" s="3" t="str">
        <f>T(".")</f>
        <v>.</v>
      </c>
      <c r="E37" s="3" t="str">
        <f>T("人民文學")</f>
        <v>人民文學</v>
      </c>
      <c r="F37" s="3">
        <v>29</v>
      </c>
      <c r="G37" s="3">
        <v>174</v>
      </c>
    </row>
    <row r="38" spans="1:7" ht="14.25">
      <c r="A38" s="3" t="str">
        <f>T("02004755")</f>
        <v>02004755</v>
      </c>
      <c r="B38" s="14" t="s">
        <v>2339</v>
      </c>
      <c r="C38" s="3" t="s">
        <v>46</v>
      </c>
      <c r="D38" s="3" t="str">
        <f>T("海岩")</f>
        <v>海岩</v>
      </c>
      <c r="E38" s="3" t="str">
        <f>T("人民文學")</f>
        <v>人民文學</v>
      </c>
      <c r="F38" s="3">
        <v>25</v>
      </c>
      <c r="G38" s="3">
        <v>150</v>
      </c>
    </row>
    <row r="39" spans="1:7" ht="14.25">
      <c r="A39" s="3" t="str">
        <f>T("02004872")</f>
        <v>02004872</v>
      </c>
      <c r="B39" s="14" t="s">
        <v>2342</v>
      </c>
      <c r="C39" s="3" t="s">
        <v>47</v>
      </c>
      <c r="D39" s="3" t="str">
        <f>T("喬喬")</f>
        <v>喬喬</v>
      </c>
      <c r="E39" s="3" t="str">
        <f>T("人民文學")</f>
        <v>人民文學</v>
      </c>
      <c r="F39" s="3">
        <v>20</v>
      </c>
      <c r="G39" s="3">
        <v>120</v>
      </c>
    </row>
    <row r="40" spans="1:7" ht="14.25">
      <c r="A40" s="3" t="str">
        <f>T("02004983")</f>
        <v>02004983</v>
      </c>
      <c r="B40" s="14" t="s">
        <v>2345</v>
      </c>
      <c r="C40" s="3" t="s">
        <v>48</v>
      </c>
      <c r="D40" s="3" t="str">
        <f>T("中國社會科學院文學研")</f>
        <v>中國社會科學院文學研</v>
      </c>
      <c r="E40" s="3">
        <f>T("")</f>
      </c>
      <c r="F40" s="3"/>
      <c r="G40" s="3">
        <v>245</v>
      </c>
    </row>
    <row r="41" spans="1:7" ht="14.25">
      <c r="A41" s="3" t="str">
        <f>T("02005040")</f>
        <v>02005040</v>
      </c>
      <c r="B41" s="14" t="s">
        <v>2348</v>
      </c>
      <c r="C41" s="3" t="s">
        <v>49</v>
      </c>
      <c r="D41" s="3" t="str">
        <f>T("理由")</f>
        <v>理由</v>
      </c>
      <c r="E41" s="3" t="str">
        <f>T("人民文學")</f>
        <v>人民文學</v>
      </c>
      <c r="F41" s="3">
        <v>29</v>
      </c>
      <c r="G41" s="3">
        <v>174</v>
      </c>
    </row>
    <row r="42" spans="1:7" ht="14.25">
      <c r="A42" s="3" t="str">
        <f>T("02005042")</f>
        <v>02005042</v>
      </c>
      <c r="B42" s="14" t="s">
        <v>2351</v>
      </c>
      <c r="C42" s="3" t="s">
        <v>50</v>
      </c>
      <c r="D42" s="3" t="str">
        <f>T("胡平")</f>
        <v>胡平</v>
      </c>
      <c r="E42" s="3" t="str">
        <f>T("人民文學")</f>
        <v>人民文學</v>
      </c>
      <c r="F42" s="3">
        <v>32</v>
      </c>
      <c r="G42" s="3">
        <v>192</v>
      </c>
    </row>
    <row r="43" spans="1:7" ht="14.25">
      <c r="A43" s="3" t="str">
        <f>T("02005043")</f>
        <v>02005043</v>
      </c>
      <c r="B43" s="14" t="s">
        <v>2354</v>
      </c>
      <c r="C43" s="3" t="s">
        <v>51</v>
      </c>
      <c r="D43" s="3" t="str">
        <f>T("趙瑜")</f>
        <v>趙瑜</v>
      </c>
      <c r="E43" s="3" t="str">
        <f>T("人民文學")</f>
        <v>人民文學</v>
      </c>
      <c r="F43" s="3">
        <v>32</v>
      </c>
      <c r="G43" s="3">
        <v>192</v>
      </c>
    </row>
    <row r="44" spans="1:7" ht="14.25">
      <c r="A44" s="3" t="str">
        <f>T("02005044")</f>
        <v>02005044</v>
      </c>
      <c r="B44" s="14" t="s">
        <v>2357</v>
      </c>
      <c r="C44" s="3" t="s">
        <v>52</v>
      </c>
      <c r="D44" s="3" t="str">
        <f>T("柯岩")</f>
        <v>柯岩</v>
      </c>
      <c r="E44" s="3" t="str">
        <f>T("人民文學")</f>
        <v>人民文學</v>
      </c>
      <c r="F44" s="3">
        <v>33</v>
      </c>
      <c r="G44" s="3">
        <v>198</v>
      </c>
    </row>
    <row r="45" spans="1:7" ht="14.25">
      <c r="A45" s="3" t="str">
        <f>T("02005045")</f>
        <v>02005045</v>
      </c>
      <c r="B45" s="14" t="s">
        <v>2360</v>
      </c>
      <c r="C45" s="3" t="s">
        <v>53</v>
      </c>
      <c r="D45" s="3" t="str">
        <f>T("何建明")</f>
        <v>何建明</v>
      </c>
      <c r="E45" s="3" t="str">
        <f>T("人民文學")</f>
        <v>人民文學</v>
      </c>
      <c r="F45" s="3">
        <v>28</v>
      </c>
      <c r="G45" s="3">
        <v>162</v>
      </c>
    </row>
    <row r="46" spans="1:7" ht="14.25">
      <c r="A46" s="3" t="str">
        <f>T("02005046")</f>
        <v>02005046</v>
      </c>
      <c r="B46" s="14" t="s">
        <v>2363</v>
      </c>
      <c r="C46" s="3" t="s">
        <v>54</v>
      </c>
      <c r="D46" s="3" t="str">
        <f>T("陳桂棣")</f>
        <v>陳桂棣</v>
      </c>
      <c r="E46" s="3" t="str">
        <f>T("人民文學")</f>
        <v>人民文學</v>
      </c>
      <c r="F46" s="3">
        <v>30</v>
      </c>
      <c r="G46" s="3">
        <v>180</v>
      </c>
    </row>
    <row r="47" spans="1:7" ht="14.25">
      <c r="A47" s="3" t="str">
        <f>T("02005179")</f>
        <v>02005179</v>
      </c>
      <c r="B47" s="14" t="s">
        <v>2366</v>
      </c>
      <c r="C47" s="3" t="s">
        <v>55</v>
      </c>
      <c r="D47" s="3" t="str">
        <f>T("阿來")</f>
        <v>阿來</v>
      </c>
      <c r="E47" s="3" t="str">
        <f>T("人民文學")</f>
        <v>人民文學</v>
      </c>
      <c r="F47" s="3">
        <v>25</v>
      </c>
      <c r="G47" s="3">
        <v>150</v>
      </c>
    </row>
    <row r="48" spans="1:7" ht="14.25">
      <c r="A48" s="3" t="str">
        <f>T("02005575")</f>
        <v>02005575</v>
      </c>
      <c r="B48" s="14" t="s">
        <v>2369</v>
      </c>
      <c r="C48" s="3" t="s">
        <v>56</v>
      </c>
      <c r="D48" s="3" t="str">
        <f>T("趙敏俐，劉國民選注")</f>
        <v>趙敏俐，劉國民選注</v>
      </c>
      <c r="E48" s="3" t="str">
        <f>T("人民文學")</f>
        <v>人民文學</v>
      </c>
      <c r="F48" s="3">
        <v>15</v>
      </c>
      <c r="G48" s="3">
        <v>90</v>
      </c>
    </row>
    <row r="49" spans="1:7" ht="14.25">
      <c r="A49" s="3" t="str">
        <f>T("02005947")</f>
        <v>02005947</v>
      </c>
      <c r="B49" s="14" t="s">
        <v>2372</v>
      </c>
      <c r="C49" s="3" t="s">
        <v>57</v>
      </c>
      <c r="D49" s="3" t="str">
        <f>T("劉醒龍")</f>
        <v>劉醒龍</v>
      </c>
      <c r="E49" s="3" t="str">
        <f>T("人民文學")</f>
        <v>人民文學</v>
      </c>
      <c r="F49" s="3">
        <v>65</v>
      </c>
      <c r="G49" s="3">
        <v>390</v>
      </c>
    </row>
    <row r="50" spans="1:7" ht="14.25">
      <c r="A50" s="3" t="str">
        <f>T("02005993")</f>
        <v>02005993</v>
      </c>
      <c r="B50" s="14" t="s">
        <v>2375</v>
      </c>
      <c r="C50" s="3" t="s">
        <v>58</v>
      </c>
      <c r="D50" s="3" t="str">
        <f>T("阿來")</f>
        <v>阿來</v>
      </c>
      <c r="E50" s="3" t="str">
        <f>T("人民文學")</f>
        <v>人民文學</v>
      </c>
      <c r="F50" s="3">
        <v>21</v>
      </c>
      <c r="G50" s="3">
        <v>126</v>
      </c>
    </row>
    <row r="51" spans="1:7" ht="14.25">
      <c r="A51" s="3" t="str">
        <f>T("02006013")</f>
        <v>02006013</v>
      </c>
      <c r="B51" s="14" t="s">
        <v>2377</v>
      </c>
      <c r="C51" s="3" t="s">
        <v>59</v>
      </c>
      <c r="D51" s="3" t="str">
        <f>T("池莉")</f>
        <v>池莉</v>
      </c>
      <c r="E51" s="3">
        <f>T("")</f>
      </c>
      <c r="F51" s="3">
        <v>26</v>
      </c>
      <c r="G51" s="3">
        <v>156</v>
      </c>
    </row>
    <row r="52" spans="1:7" ht="14.25">
      <c r="A52" s="3" t="str">
        <f>T("02006571")</f>
        <v>02006571</v>
      </c>
      <c r="B52" s="14" t="s">
        <v>2380</v>
      </c>
      <c r="C52" s="3" t="s">
        <v>60</v>
      </c>
      <c r="D52" s="3" t="str">
        <f>T("唐浩明")</f>
        <v>唐浩明</v>
      </c>
      <c r="E52" s="3" t="str">
        <f>T("人民文學")</f>
        <v>人民文學</v>
      </c>
      <c r="F52" s="3">
        <v>110</v>
      </c>
      <c r="G52" s="3">
        <v>660</v>
      </c>
    </row>
    <row r="53" spans="1:7" ht="14.25">
      <c r="A53" s="3" t="str">
        <f>T("02007607")</f>
        <v>02007607</v>
      </c>
      <c r="B53" s="14" t="s">
        <v>2383</v>
      </c>
      <c r="C53" s="3" t="s">
        <v>61</v>
      </c>
      <c r="D53" s="3" t="str">
        <f>T("張學軍著")</f>
        <v>張學軍著</v>
      </c>
      <c r="E53" s="3" t="str">
        <f>T("人民文學")</f>
        <v>人民文學</v>
      </c>
      <c r="F53" s="3">
        <v>22</v>
      </c>
      <c r="G53" s="3">
        <v>132</v>
      </c>
    </row>
    <row r="54" spans="1:7" ht="14.25">
      <c r="A54" s="3" t="str">
        <f>T("02007708")</f>
        <v>02007708</v>
      </c>
      <c r="B54" s="14" t="s">
        <v>2386</v>
      </c>
      <c r="C54" s="3" t="s">
        <v>62</v>
      </c>
      <c r="D54" s="3" t="str">
        <f>T("陳愉慶")</f>
        <v>陳愉慶</v>
      </c>
      <c r="E54" s="3" t="str">
        <f>T("人民文學")</f>
        <v>人民文學</v>
      </c>
      <c r="F54" s="3">
        <v>30</v>
      </c>
      <c r="G54" s="3">
        <v>180</v>
      </c>
    </row>
    <row r="55" spans="1:7" ht="14.25">
      <c r="A55" s="3" t="str">
        <f>T("02007801")</f>
        <v>02007801</v>
      </c>
      <c r="B55" s="14" t="s">
        <v>2389</v>
      </c>
      <c r="C55" s="3" t="s">
        <v>63</v>
      </c>
      <c r="D55" s="3" t="str">
        <f>T("郭沫若著")</f>
        <v>郭沫若著</v>
      </c>
      <c r="E55" s="3" t="str">
        <f>T("人民文學")</f>
        <v>人民文學</v>
      </c>
      <c r="F55" s="3">
        <v>15</v>
      </c>
      <c r="G55" s="3">
        <v>90</v>
      </c>
    </row>
    <row r="56" spans="1:7" ht="14.25">
      <c r="A56" s="3" t="str">
        <f>T("02007990")</f>
        <v>02007990</v>
      </c>
      <c r="B56" s="14" t="s">
        <v>2392</v>
      </c>
      <c r="C56" s="3" t="s">
        <v>64</v>
      </c>
      <c r="D56" s="3" t="str">
        <f>T("於堅. 等著")</f>
        <v>於堅. 等著</v>
      </c>
      <c r="E56" s="3" t="str">
        <f>T("人民文學")</f>
        <v>人民文學</v>
      </c>
      <c r="F56" s="3">
        <v>12</v>
      </c>
      <c r="G56" s="3">
        <v>72</v>
      </c>
    </row>
    <row r="57" spans="1:7" ht="14.25">
      <c r="A57" s="3" t="str">
        <f>T("02008085")</f>
        <v>02008085</v>
      </c>
      <c r="B57" s="14" t="s">
        <v>2395</v>
      </c>
      <c r="C57" s="3" t="s">
        <v>65</v>
      </c>
      <c r="D57" s="3" t="str">
        <f>T("張明華")</f>
        <v>張明華</v>
      </c>
      <c r="E57" s="3" t="str">
        <f>T("人民文學")</f>
        <v>人民文學</v>
      </c>
      <c r="F57" s="3">
        <v>29</v>
      </c>
      <c r="G57" s="3">
        <v>174</v>
      </c>
    </row>
    <row r="58" spans="1:7" ht="14.25">
      <c r="A58" s="3" t="str">
        <f>T("03019623")</f>
        <v>03019623</v>
      </c>
      <c r="B58" s="14" t="s">
        <v>2398</v>
      </c>
      <c r="C58" s="3" t="s">
        <v>66</v>
      </c>
      <c r="D58" s="3" t="str">
        <f>T("趙學敏")</f>
        <v>趙學敏</v>
      </c>
      <c r="E58" s="3" t="str">
        <f>T("科學")</f>
        <v>科學</v>
      </c>
      <c r="F58" s="3">
        <v>78</v>
      </c>
      <c r="G58" s="3">
        <v>468</v>
      </c>
    </row>
    <row r="59" spans="1:7" ht="14.25">
      <c r="A59" s="3" t="str">
        <f>T("03023803")</f>
        <v>03023803</v>
      </c>
      <c r="B59" s="14" t="s">
        <v>2402</v>
      </c>
      <c r="C59" s="3" t="s">
        <v>67</v>
      </c>
      <c r="D59" s="3" t="str">
        <f>T("常素霞")</f>
        <v>常素霞</v>
      </c>
      <c r="E59" s="3" t="str">
        <f>T("科學")</f>
        <v>科學</v>
      </c>
      <c r="F59" s="3">
        <v>80</v>
      </c>
      <c r="G59" s="3">
        <v>480</v>
      </c>
    </row>
    <row r="60" spans="1:7" ht="14.25">
      <c r="A60" s="3" t="str">
        <f>T("03023805")</f>
        <v>03023805</v>
      </c>
      <c r="B60" s="14" t="s">
        <v>2405</v>
      </c>
      <c r="C60" s="3" t="s">
        <v>68</v>
      </c>
      <c r="D60" s="3" t="str">
        <f>T("常素霞")</f>
        <v>常素霞</v>
      </c>
      <c r="E60" s="3" t="str">
        <f>T("科學")</f>
        <v>科學</v>
      </c>
      <c r="F60" s="3">
        <v>80</v>
      </c>
      <c r="G60" s="3">
        <v>480</v>
      </c>
    </row>
    <row r="61" spans="1:7" ht="14.25">
      <c r="A61" s="3" t="str">
        <f>T("03023853")</f>
        <v>03023853</v>
      </c>
      <c r="B61" s="14" t="s">
        <v>2407</v>
      </c>
      <c r="C61" s="3" t="s">
        <v>69</v>
      </c>
      <c r="D61" s="3" t="str">
        <f>T("張光興")</f>
        <v>張光興</v>
      </c>
      <c r="E61" s="3" t="str">
        <f>T("科學")</f>
        <v>科學</v>
      </c>
      <c r="F61" s="3">
        <v>28</v>
      </c>
      <c r="G61" s="3">
        <v>168</v>
      </c>
    </row>
    <row r="62" spans="1:7" ht="14.25">
      <c r="A62" s="3" t="str">
        <f>T("03026295")</f>
        <v>03026295</v>
      </c>
      <c r="B62" s="14" t="s">
        <v>2410</v>
      </c>
      <c r="C62" s="3" t="s">
        <v>70</v>
      </c>
      <c r="D62" s="3" t="str">
        <f>T("潘教峰")</f>
        <v>潘教峰</v>
      </c>
      <c r="E62" s="3" t="str">
        <f>T("科學")</f>
        <v>科學</v>
      </c>
      <c r="F62" s="3">
        <v>80</v>
      </c>
      <c r="G62" s="3">
        <v>480</v>
      </c>
    </row>
    <row r="63" spans="1:7" ht="14.25">
      <c r="A63" s="3" t="str">
        <f>T("03026905")</f>
        <v>03026905</v>
      </c>
      <c r="B63" s="14" t="s">
        <v>2413</v>
      </c>
      <c r="C63" s="3" t="s">
        <v>71</v>
      </c>
      <c r="D63" s="3" t="str">
        <f>T("孫黎")</f>
        <v>孫黎</v>
      </c>
      <c r="E63" s="3" t="str">
        <f>T("科學")</f>
        <v>科學</v>
      </c>
      <c r="F63" s="3">
        <v>35</v>
      </c>
      <c r="G63" s="3">
        <v>210</v>
      </c>
    </row>
    <row r="64" spans="1:7" ht="14.25">
      <c r="A64" s="3" t="str">
        <f>T("04016481")</f>
        <v>04016481</v>
      </c>
      <c r="B64" s="14" t="s">
        <v>2416</v>
      </c>
      <c r="C64" s="3" t="s">
        <v>72</v>
      </c>
      <c r="D64" s="3" t="str">
        <f>T("袁行霈")</f>
        <v>袁行霈</v>
      </c>
      <c r="E64" s="3" t="str">
        <f>T("高等教育")</f>
        <v>高等教育</v>
      </c>
      <c r="F64" s="3">
        <v>31.4</v>
      </c>
      <c r="G64" s="3">
        <v>188</v>
      </c>
    </row>
    <row r="65" spans="1:7" ht="14.25">
      <c r="A65" s="3" t="str">
        <f>T("04028290")</f>
        <v>04028290</v>
      </c>
      <c r="B65" s="14" t="s">
        <v>2420</v>
      </c>
      <c r="C65" s="3" t="s">
        <v>73</v>
      </c>
      <c r="D65" s="3" t="str">
        <f>T("潘志濤")</f>
        <v>潘志濤</v>
      </c>
      <c r="E65" s="3" t="str">
        <f>T("藍色暢想")</f>
        <v>藍色暢想</v>
      </c>
      <c r="F65" s="3">
        <v>25</v>
      </c>
      <c r="G65" s="3">
        <v>150</v>
      </c>
    </row>
    <row r="66" spans="1:7" ht="14.25">
      <c r="A66" s="3" t="str">
        <f>T("10004643")</f>
        <v>10004643</v>
      </c>
      <c r="B66" s="14" t="s">
        <v>2424</v>
      </c>
      <c r="C66" s="3" t="s">
        <v>74</v>
      </c>
      <c r="D66" s="3" t="str">
        <f>T("陳友冰")</f>
        <v>陳友冰</v>
      </c>
      <c r="E66" s="3" t="str">
        <f>T("商務印書")</f>
        <v>商務印書</v>
      </c>
      <c r="F66" s="3">
        <v>28</v>
      </c>
      <c r="G66" s="3">
        <v>168</v>
      </c>
    </row>
    <row r="67" spans="1:7" ht="14.25">
      <c r="A67" s="3" t="str">
        <f>T("10005088")</f>
        <v>10005088</v>
      </c>
      <c r="B67" s="14" t="s">
        <v>2428</v>
      </c>
      <c r="C67" s="3" t="s">
        <v>75</v>
      </c>
      <c r="D67" s="3" t="str">
        <f>T("李鳳亮")</f>
        <v>李鳳亮</v>
      </c>
      <c r="E67" s="3" t="str">
        <f>T("商務印書")</f>
        <v>商務印書</v>
      </c>
      <c r="F67" s="3">
        <v>22</v>
      </c>
      <c r="G67" s="3">
        <v>132</v>
      </c>
    </row>
    <row r="68" spans="1:7" ht="14.25">
      <c r="A68" s="3" t="str">
        <f>T("10005328")</f>
        <v>10005328</v>
      </c>
      <c r="B68" s="14" t="s">
        <v>2431</v>
      </c>
      <c r="C68" s="3" t="s">
        <v>76</v>
      </c>
      <c r="D68" s="3" t="str">
        <f>T("殷國光")</f>
        <v>殷國光</v>
      </c>
      <c r="E68" s="3" t="str">
        <f>T("商務印書")</f>
        <v>商務印書</v>
      </c>
      <c r="F68" s="3">
        <v>26</v>
      </c>
      <c r="G68" s="3">
        <v>156</v>
      </c>
    </row>
    <row r="69" spans="1:7" ht="14.25">
      <c r="A69" s="3" t="str">
        <f>T("10005489")</f>
        <v>10005489</v>
      </c>
      <c r="B69" s="14" t="s">
        <v>2434</v>
      </c>
      <c r="C69" s="3" t="s">
        <v>77</v>
      </c>
      <c r="D69" s="3" t="str">
        <f>T("吳建生")</f>
        <v>吳建生</v>
      </c>
      <c r="E69" s="3" t="str">
        <f>T("商務印書")</f>
        <v>商務印書</v>
      </c>
      <c r="F69" s="3">
        <v>27</v>
      </c>
      <c r="G69" s="3">
        <v>162</v>
      </c>
    </row>
    <row r="70" spans="1:7" ht="14.25">
      <c r="A70" s="3" t="str">
        <f>T("10005491")</f>
        <v>10005491</v>
      </c>
      <c r="B70" s="14" t="s">
        <v>2437</v>
      </c>
      <c r="C70" s="3" t="s">
        <v>78</v>
      </c>
      <c r="D70" s="3" t="str">
        <f>T("孫若怡著")</f>
        <v>孫若怡著</v>
      </c>
      <c r="E70" s="3" t="str">
        <f>T("商務印書")</f>
        <v>商務印書</v>
      </c>
      <c r="F70" s="3">
        <v>38</v>
      </c>
      <c r="G70" s="3">
        <v>228</v>
      </c>
    </row>
    <row r="71" spans="1:7" ht="14.25">
      <c r="A71" s="3" t="str">
        <f>T("10005574")</f>
        <v>10005574</v>
      </c>
      <c r="B71" s="14" t="s">
        <v>2440</v>
      </c>
      <c r="C71" s="3" t="s">
        <v>79</v>
      </c>
      <c r="D71" s="3" t="str">
        <f>T("汝企和")</f>
        <v>汝企和</v>
      </c>
      <c r="E71" s="3" t="str">
        <f>T("商務印書")</f>
        <v>商務印書</v>
      </c>
      <c r="F71" s="3">
        <v>21</v>
      </c>
      <c r="G71" s="3">
        <v>126</v>
      </c>
    </row>
    <row r="72" spans="1:7" ht="14.25">
      <c r="A72" s="3" t="str">
        <f>T("10005594")</f>
        <v>10005594</v>
      </c>
      <c r="B72" s="14" t="s">
        <v>2443</v>
      </c>
      <c r="C72" s="3" t="s">
        <v>80</v>
      </c>
      <c r="D72" s="3" t="str">
        <f>T("雷海宗")</f>
        <v>雷海宗</v>
      </c>
      <c r="E72" s="3" t="str">
        <f>T("商務印書")</f>
        <v>商務印書</v>
      </c>
      <c r="F72" s="3">
        <v>17.8</v>
      </c>
      <c r="G72" s="3">
        <v>107</v>
      </c>
    </row>
    <row r="73" spans="1:7" ht="14.25">
      <c r="A73" s="3" t="str">
        <f>T("10005710")</f>
        <v>10005710</v>
      </c>
      <c r="B73" s="14" t="s">
        <v>2446</v>
      </c>
      <c r="C73" s="3" t="s">
        <v>81</v>
      </c>
      <c r="D73" s="3" t="str">
        <f>T("程麻")</f>
        <v>程麻</v>
      </c>
      <c r="E73" s="3" t="str">
        <f>T("商務印書")</f>
        <v>商務印書</v>
      </c>
      <c r="F73" s="3">
        <v>49</v>
      </c>
      <c r="G73" s="3">
        <v>294</v>
      </c>
    </row>
    <row r="74" spans="1:7" ht="14.25">
      <c r="A74" s="3" t="str">
        <f>T("10005712")</f>
        <v>10005712</v>
      </c>
      <c r="B74" s="14" t="s">
        <v>2449</v>
      </c>
      <c r="C74" s="3" t="s">
        <v>82</v>
      </c>
      <c r="D74" s="3" t="str">
        <f>T("張廷銀")</f>
        <v>張廷銀</v>
      </c>
      <c r="E74" s="3" t="str">
        <f>T("商務印書")</f>
        <v>商務印書</v>
      </c>
      <c r="F74" s="3">
        <v>25</v>
      </c>
      <c r="G74" s="3">
        <v>150</v>
      </c>
    </row>
    <row r="75" spans="1:7" ht="14.25">
      <c r="A75" s="3" t="str">
        <f>T("10005737")</f>
        <v>10005737</v>
      </c>
      <c r="B75" s="14" t="s">
        <v>2452</v>
      </c>
      <c r="C75" s="3" t="s">
        <v>83</v>
      </c>
      <c r="D75" s="3" t="str">
        <f>T("方銘")</f>
        <v>方銘</v>
      </c>
      <c r="E75" s="3" t="str">
        <f>T("商務印書")</f>
        <v>商務印書</v>
      </c>
      <c r="F75" s="3">
        <v>68</v>
      </c>
      <c r="G75" s="3">
        <v>408</v>
      </c>
    </row>
    <row r="76" spans="1:7" ht="14.25">
      <c r="A76" s="3" t="str">
        <f>T("10005770")</f>
        <v>10005770</v>
      </c>
      <c r="B76" s="14" t="s">
        <v>2455</v>
      </c>
      <c r="C76" s="3" t="s">
        <v>84</v>
      </c>
      <c r="D76" s="3" t="str">
        <f>T("《音韻學方法論討論集》編輯組 編")</f>
        <v>《音韻學方法論討論集》編輯組 編</v>
      </c>
      <c r="E76" s="3" t="str">
        <f>T("商務印書")</f>
        <v>商務印書</v>
      </c>
      <c r="F76" s="3">
        <v>33</v>
      </c>
      <c r="G76" s="3">
        <v>198</v>
      </c>
    </row>
    <row r="77" spans="1:7" ht="14.25">
      <c r="A77" s="3" t="str">
        <f>T("10005793")</f>
        <v>10005793</v>
      </c>
      <c r="B77" s="14" t="s">
        <v>2458</v>
      </c>
      <c r="C77" s="3" t="s">
        <v>85</v>
      </c>
      <c r="D77" s="3" t="str">
        <f>T("寧欣")</f>
        <v>寧欣</v>
      </c>
      <c r="E77" s="3" t="str">
        <f>T("商務印書")</f>
        <v>商務印書</v>
      </c>
      <c r="F77" s="3">
        <v>26</v>
      </c>
      <c r="G77" s="3">
        <v>156</v>
      </c>
    </row>
    <row r="78" spans="1:7" ht="14.25">
      <c r="A78" s="3" t="str">
        <f>T("10005830")</f>
        <v>10005830</v>
      </c>
      <c r="B78" s="14" t="s">
        <v>2461</v>
      </c>
      <c r="C78" s="3" t="s">
        <v>86</v>
      </c>
      <c r="D78" s="3">
        <f>T("")</f>
      </c>
      <c r="E78" s="3" t="str">
        <f>T("商務印書")</f>
        <v>商務印書</v>
      </c>
      <c r="F78" s="3">
        <v>22</v>
      </c>
      <c r="G78" s="3">
        <v>132</v>
      </c>
    </row>
    <row r="79" spans="1:7" ht="14.25">
      <c r="A79" s="3" t="str">
        <f>T("10005832")</f>
        <v>10005832</v>
      </c>
      <c r="B79" s="14" t="s">
        <v>2463</v>
      </c>
      <c r="C79" s="3" t="s">
        <v>87</v>
      </c>
      <c r="D79" s="3" t="str">
        <f>T("方稱宇")</f>
        <v>方稱宇</v>
      </c>
      <c r="E79" s="3" t="str">
        <f>T("商務印書")</f>
        <v>商務印書</v>
      </c>
      <c r="F79" s="3">
        <v>300</v>
      </c>
      <c r="G79" s="3">
        <v>1800</v>
      </c>
    </row>
    <row r="80" spans="1:7" ht="14.25">
      <c r="A80" s="3" t="str">
        <f>T("10005858")</f>
        <v>10005858</v>
      </c>
      <c r="B80" s="14" t="s">
        <v>2466</v>
      </c>
      <c r="C80" s="3" t="s">
        <v>88</v>
      </c>
      <c r="D80" s="3" t="str">
        <f>T("[意]史華羅 著")</f>
        <v>[意]史華羅 著</v>
      </c>
      <c r="E80" s="3" t="str">
        <f>T("商務印書")</f>
        <v>商務印書</v>
      </c>
      <c r="F80" s="3">
        <v>42</v>
      </c>
      <c r="G80" s="3">
        <v>252</v>
      </c>
    </row>
    <row r="81" spans="1:7" ht="14.25">
      <c r="A81" s="3" t="str">
        <f>T("10005861")</f>
        <v>10005861</v>
      </c>
      <c r="B81" s="14" t="s">
        <v>2469</v>
      </c>
      <c r="C81" s="3" t="s">
        <v>89</v>
      </c>
      <c r="D81" s="3" t="str">
        <f>T("樓含松")</f>
        <v>樓含松</v>
      </c>
      <c r="E81" s="3" t="str">
        <f>T("商務印書")</f>
        <v>商務印書</v>
      </c>
      <c r="F81" s="3">
        <v>22</v>
      </c>
      <c r="G81" s="3">
        <v>132</v>
      </c>
    </row>
    <row r="82" spans="1:7" ht="14.25">
      <c r="A82" s="3" t="str">
        <f>T("10005883")</f>
        <v>10005883</v>
      </c>
      <c r="B82" s="14" t="s">
        <v>2472</v>
      </c>
      <c r="C82" s="3" t="s">
        <v>90</v>
      </c>
      <c r="D82" s="3" t="str">
        <f>T("李梅田")</f>
        <v>李梅田</v>
      </c>
      <c r="E82" s="3" t="str">
        <f>T("商務印書")</f>
        <v>商務印書</v>
      </c>
      <c r="F82" s="3">
        <v>21</v>
      </c>
      <c r="G82" s="3">
        <v>126</v>
      </c>
    </row>
    <row r="83" spans="1:7" ht="14.25">
      <c r="A83" s="3" t="str">
        <f>T("10005907")</f>
        <v>10005907</v>
      </c>
      <c r="B83" s="14" t="s">
        <v>2475</v>
      </c>
      <c r="C83" s="3" t="s">
        <v>91</v>
      </c>
      <c r="D83" s="3" t="str">
        <f>T("何茲全")</f>
        <v>何茲全</v>
      </c>
      <c r="E83" s="3" t="str">
        <f>T("商務印書")</f>
        <v>商務印書</v>
      </c>
      <c r="F83" s="3">
        <v>27</v>
      </c>
      <c r="G83" s="3">
        <v>162</v>
      </c>
    </row>
    <row r="84" spans="1:7" ht="14.25">
      <c r="A84" s="3" t="str">
        <f>T("10006048")</f>
        <v>10006048</v>
      </c>
      <c r="B84" s="14" t="s">
        <v>2478</v>
      </c>
      <c r="C84" s="3" t="s">
        <v>92</v>
      </c>
      <c r="D84" s="3" t="str">
        <f>T("袁峰")</f>
        <v>袁峰</v>
      </c>
      <c r="E84" s="3" t="str">
        <f>T("商務印書")</f>
        <v>商務印書</v>
      </c>
      <c r="F84" s="3">
        <v>20</v>
      </c>
      <c r="G84" s="3">
        <v>120</v>
      </c>
    </row>
    <row r="85" spans="1:7" ht="14.25">
      <c r="A85" s="3" t="str">
        <f>T("10006082")</f>
        <v>10006082</v>
      </c>
      <c r="B85" s="14" t="s">
        <v>2481</v>
      </c>
      <c r="C85" s="3" t="s">
        <v>93</v>
      </c>
      <c r="D85" s="3" t="str">
        <f>T("喬永")</f>
        <v>喬永</v>
      </c>
      <c r="E85" s="3" t="str">
        <f>T("商務印書")</f>
        <v>商務印書</v>
      </c>
      <c r="F85" s="3">
        <v>38</v>
      </c>
      <c r="G85" s="3">
        <v>228</v>
      </c>
    </row>
    <row r="86" spans="1:7" ht="14.25">
      <c r="A86" s="3" t="str">
        <f>T("10006190")</f>
        <v>10006190</v>
      </c>
      <c r="B86" s="14" t="s">
        <v>2484</v>
      </c>
      <c r="C86" s="3" t="s">
        <v>94</v>
      </c>
      <c r="D86" s="3" t="str">
        <f>T("於殿利")</f>
        <v>於殿利</v>
      </c>
      <c r="E86" s="3" t="str">
        <f>T("商務印書")</f>
        <v>商務印書</v>
      </c>
      <c r="F86" s="3">
        <v>69.8</v>
      </c>
      <c r="G86" s="3">
        <v>419</v>
      </c>
    </row>
    <row r="87" spans="1:7" ht="14.25">
      <c r="A87" s="3" t="str">
        <f>T("10006210")</f>
        <v>10006210</v>
      </c>
      <c r="B87" s="14" t="s">
        <v>2487</v>
      </c>
      <c r="C87" s="3" t="s">
        <v>95</v>
      </c>
      <c r="D87" s="3" t="str">
        <f>T("中國訓詁學會《中國訓詁學報》編輯部 編")</f>
        <v>中國訓詁學會《中國訓詁學報》編輯部 編</v>
      </c>
      <c r="E87" s="3" t="str">
        <f>T("商務印書")</f>
        <v>商務印書</v>
      </c>
      <c r="F87" s="3">
        <v>32</v>
      </c>
      <c r="G87" s="3">
        <v>192</v>
      </c>
    </row>
    <row r="88" spans="1:7" ht="14.25">
      <c r="A88" s="3" t="str">
        <f>T("10006565")</f>
        <v>10006565</v>
      </c>
      <c r="B88" s="14" t="s">
        <v>2490</v>
      </c>
      <c r="C88" s="3" t="s">
        <v>96</v>
      </c>
      <c r="D88" s="3" t="str">
        <f>T("趙靜蓉")</f>
        <v>趙靜蓉</v>
      </c>
      <c r="E88" s="3" t="str">
        <f>T("商務印書")</f>
        <v>商務印書</v>
      </c>
      <c r="F88" s="3">
        <v>30</v>
      </c>
      <c r="G88" s="3">
        <v>180</v>
      </c>
    </row>
    <row r="89" spans="1:7" ht="14.25">
      <c r="A89" s="3" t="str">
        <f>T("10006619")</f>
        <v>10006619</v>
      </c>
      <c r="B89" s="14" t="s">
        <v>2493</v>
      </c>
      <c r="C89" s="3" t="s">
        <v>97</v>
      </c>
      <c r="D89" s="3" t="str">
        <f>T("史蒂文.羅傑")</f>
        <v>史蒂文.羅傑</v>
      </c>
      <c r="E89" s="3" t="str">
        <f>T("商務印書")</f>
        <v>商務印書</v>
      </c>
      <c r="F89" s="3">
        <v>40</v>
      </c>
      <c r="G89" s="3">
        <v>240</v>
      </c>
    </row>
    <row r="90" spans="1:7" ht="14.25">
      <c r="A90" s="3" t="str">
        <f>T("10006624")</f>
        <v>10006624</v>
      </c>
      <c r="B90" s="14" t="s">
        <v>2496</v>
      </c>
      <c r="C90" s="3" t="s">
        <v>98</v>
      </c>
      <c r="D90" s="3" t="str">
        <f>T("孫月沐")</f>
        <v>孫月沐</v>
      </c>
      <c r="E90" s="3" t="str">
        <f>T("商務印書")</f>
        <v>商務印書</v>
      </c>
      <c r="F90" s="3">
        <v>55</v>
      </c>
      <c r="G90" s="3">
        <v>330</v>
      </c>
    </row>
    <row r="91" spans="1:7" ht="14.25">
      <c r="A91" s="3" t="str">
        <f>T("10006711")</f>
        <v>10006711</v>
      </c>
      <c r="B91" s="14" t="s">
        <v>2499</v>
      </c>
      <c r="C91" s="3" t="s">
        <v>99</v>
      </c>
      <c r="D91" s="3" t="str">
        <f>T("溫朔彬")</f>
        <v>溫朔彬</v>
      </c>
      <c r="E91" s="3" t="str">
        <f>T("商務印書")</f>
        <v>商務印書</v>
      </c>
      <c r="F91" s="3">
        <v>20</v>
      </c>
      <c r="G91" s="3">
        <v>120</v>
      </c>
    </row>
    <row r="92" spans="1:7" ht="14.25">
      <c r="A92" s="3" t="str">
        <f>T("10006719")</f>
        <v>10006719</v>
      </c>
      <c r="B92" s="14" t="s">
        <v>2502</v>
      </c>
      <c r="C92" s="3" t="s">
        <v>100</v>
      </c>
      <c r="D92" s="3" t="str">
        <f>T("李輝")</f>
        <v>李輝</v>
      </c>
      <c r="E92" s="3" t="str">
        <f>T("商務印書")</f>
        <v>商務印書</v>
      </c>
      <c r="F92" s="3">
        <v>28</v>
      </c>
      <c r="G92" s="3">
        <v>168</v>
      </c>
    </row>
    <row r="93" spans="1:7" ht="14.25">
      <c r="A93" s="3" t="str">
        <f>T("10006778")</f>
        <v>10006778</v>
      </c>
      <c r="B93" s="14" t="s">
        <v>2505</v>
      </c>
      <c r="C93" s="3" t="s">
        <v>101</v>
      </c>
      <c r="D93" s="3" t="str">
        <f>T("張元濟著")</f>
        <v>張元濟著</v>
      </c>
      <c r="E93" s="3" t="str">
        <f>T("商務印書")</f>
        <v>商務印書</v>
      </c>
      <c r="F93" s="3">
        <v>96</v>
      </c>
      <c r="G93" s="3">
        <v>576</v>
      </c>
    </row>
    <row r="94" spans="1:7" ht="14.25">
      <c r="A94" s="3" t="str">
        <f>T("10006794")</f>
        <v>10006794</v>
      </c>
      <c r="B94" s="14" t="s">
        <v>2508</v>
      </c>
      <c r="C94" s="3" t="s">
        <v>102</v>
      </c>
      <c r="D94" s="3" t="str">
        <f>T("馮國超")</f>
        <v>馮國超</v>
      </c>
      <c r="E94" s="3" t="str">
        <f>T("商務印書")</f>
        <v>商務印書</v>
      </c>
      <c r="F94" s="3">
        <v>36</v>
      </c>
      <c r="G94" s="3">
        <v>216</v>
      </c>
    </row>
    <row r="95" spans="1:7" ht="14.25">
      <c r="A95" s="3" t="str">
        <f>T("10006928")</f>
        <v>10006928</v>
      </c>
      <c r="B95" s="14" t="s">
        <v>2511</v>
      </c>
      <c r="C95" s="3" t="s">
        <v>103</v>
      </c>
      <c r="D95" s="3" t="str">
        <f>T("田東江著")</f>
        <v>田東江著</v>
      </c>
      <c r="E95" s="3" t="str">
        <f>T("商務印書")</f>
        <v>商務印書</v>
      </c>
      <c r="F95" s="3">
        <v>33</v>
      </c>
      <c r="G95" s="3">
        <v>198</v>
      </c>
    </row>
    <row r="96" spans="1:7" ht="14.25">
      <c r="A96" s="3" t="str">
        <f>T("10007002")</f>
        <v>10007002</v>
      </c>
      <c r="B96" s="14" t="s">
        <v>2514</v>
      </c>
      <c r="C96" s="3" t="s">
        <v>104</v>
      </c>
      <c r="D96" s="3" t="str">
        <f>T("謝貴安")</f>
        <v>謝貴安</v>
      </c>
      <c r="E96" s="3" t="str">
        <f>T("商務印書")</f>
        <v>商務印書</v>
      </c>
      <c r="F96" s="3">
        <v>46</v>
      </c>
      <c r="G96" s="3">
        <v>276</v>
      </c>
    </row>
    <row r="97" spans="1:7" ht="14.25">
      <c r="A97" s="3" t="str">
        <f>T("10100476")</f>
        <v>10100476</v>
      </c>
      <c r="B97" s="14" t="s">
        <v>2517</v>
      </c>
      <c r="C97" s="3" t="s">
        <v>105</v>
      </c>
      <c r="D97" s="3" t="str">
        <f>T("王廷相著,王孝魚點校")</f>
        <v>王廷相著,王孝魚點校</v>
      </c>
      <c r="E97" s="3" t="str">
        <f>T("中華書局")</f>
        <v>中華書局</v>
      </c>
      <c r="F97" s="3">
        <v>128</v>
      </c>
      <c r="G97" s="3">
        <v>768</v>
      </c>
    </row>
    <row r="98" spans="1:7" ht="14.25">
      <c r="A98" s="3" t="str">
        <f>T("10102707")</f>
        <v>10102707</v>
      </c>
      <c r="B98" s="14" t="s">
        <v>2521</v>
      </c>
      <c r="C98" s="3" t="s">
        <v>106</v>
      </c>
      <c r="D98" s="3" t="str">
        <f>T("楊玉芬")</f>
        <v>楊玉芬</v>
      </c>
      <c r="E98" s="3" t="str">
        <f>T("中華書局")</f>
        <v>中華書局</v>
      </c>
      <c r="F98" s="3">
        <v>8</v>
      </c>
      <c r="G98" s="3">
        <v>48</v>
      </c>
    </row>
    <row r="99" spans="1:7" ht="14.25">
      <c r="A99" s="3" t="str">
        <f>T("10103861")</f>
        <v>10103861</v>
      </c>
      <c r="B99" s="14" t="s">
        <v>2524</v>
      </c>
      <c r="C99" s="3" t="s">
        <v>107</v>
      </c>
      <c r="D99" s="3" t="str">
        <f>T("傅璿琮")</f>
        <v>傅璿琮</v>
      </c>
      <c r="E99" s="3" t="str">
        <f>T("中華書局")</f>
        <v>中華書局</v>
      </c>
      <c r="F99" s="3">
        <v>68</v>
      </c>
      <c r="G99" s="3">
        <v>408</v>
      </c>
    </row>
    <row r="100" spans="1:7" ht="14.25">
      <c r="A100" s="3" t="str">
        <f>T("10103968")</f>
        <v>10103968</v>
      </c>
      <c r="B100" s="14" t="s">
        <v>2527</v>
      </c>
      <c r="C100" s="3" t="s">
        <v>108</v>
      </c>
      <c r="D100" s="3" t="str">
        <f>T("周燕芬")</f>
        <v>周燕芬</v>
      </c>
      <c r="E100" s="3" t="str">
        <f>T("中華書局")</f>
        <v>中華書局</v>
      </c>
      <c r="F100" s="3">
        <v>25</v>
      </c>
      <c r="G100" s="3">
        <v>150</v>
      </c>
    </row>
    <row r="101" spans="1:7" ht="14.25">
      <c r="A101" s="3" t="str">
        <f>T("10104266")</f>
        <v>10104266</v>
      </c>
      <c r="B101" s="14" t="s">
        <v>2530</v>
      </c>
      <c r="C101" s="3" t="s">
        <v>109</v>
      </c>
      <c r="D101" s="3" t="str">
        <f>T("蔣寅")</f>
        <v>蔣寅</v>
      </c>
      <c r="E101" s="3" t="str">
        <f>T("中華書局")</f>
        <v>中華書局</v>
      </c>
      <c r="F101" s="3">
        <v>54</v>
      </c>
      <c r="G101" s="3">
        <v>324</v>
      </c>
    </row>
    <row r="102" spans="1:7" ht="14.25">
      <c r="A102" s="3" t="str">
        <f>T("10105201")</f>
        <v>10105201</v>
      </c>
      <c r="B102" s="14" t="s">
        <v>2533</v>
      </c>
      <c r="C102" s="3" t="s">
        <v>110</v>
      </c>
      <c r="D102" s="3" t="str">
        <f>T("朱契")</f>
        <v>朱契</v>
      </c>
      <c r="E102" s="3" t="str">
        <f>T("中華書局")</f>
        <v>中華書局</v>
      </c>
      <c r="F102" s="3">
        <v>48</v>
      </c>
      <c r="G102" s="3">
        <v>288</v>
      </c>
    </row>
    <row r="103" spans="1:7" ht="14.25">
      <c r="A103" s="3" t="str">
        <f>T("10105540")</f>
        <v>10105540</v>
      </c>
      <c r="B103" s="14" t="s">
        <v>2536</v>
      </c>
      <c r="C103" s="3" t="s">
        <v>111</v>
      </c>
      <c r="D103" s="3">
        <f>T("")</f>
      </c>
      <c r="E103" s="3" t="str">
        <f>T("中華書局")</f>
        <v>中華書局</v>
      </c>
      <c r="F103" s="3">
        <v>18</v>
      </c>
      <c r="G103" s="3">
        <v>108</v>
      </c>
    </row>
    <row r="104" spans="1:7" ht="14.25">
      <c r="A104" s="3" t="str">
        <f>T("10105550")</f>
        <v>10105550</v>
      </c>
      <c r="B104" s="14" t="s">
        <v>2538</v>
      </c>
      <c r="C104" s="3" t="s">
        <v>112</v>
      </c>
      <c r="D104" s="3" t="str">
        <f>T("湖南善後協會編纂")</f>
        <v>湖南善後協會編纂</v>
      </c>
      <c r="E104" s="3" t="str">
        <f>T("中華書局")</f>
        <v>中華書局</v>
      </c>
      <c r="F104" s="3">
        <v>25</v>
      </c>
      <c r="G104" s="3">
        <v>150</v>
      </c>
    </row>
    <row r="105" spans="1:7" ht="14.25">
      <c r="A105" s="3" t="str">
        <f>T("10105554")</f>
        <v>10105554</v>
      </c>
      <c r="B105" s="14" t="s">
        <v>2541</v>
      </c>
      <c r="C105" s="3" t="s">
        <v>113</v>
      </c>
      <c r="D105" s="3" t="str">
        <f>T("花沙納")</f>
        <v>花沙納</v>
      </c>
      <c r="E105" s="3" t="str">
        <f>T("中華書局")</f>
        <v>中華書局</v>
      </c>
      <c r="F105" s="3">
        <v>12</v>
      </c>
      <c r="G105" s="3">
        <v>72</v>
      </c>
    </row>
    <row r="106" spans="1:7" ht="14.25">
      <c r="A106" s="3" t="str">
        <f>T("10105614")</f>
        <v>10105614</v>
      </c>
      <c r="B106" s="14" t="s">
        <v>2544</v>
      </c>
      <c r="C106" s="3" t="s">
        <v>114</v>
      </c>
      <c r="D106" s="3">
        <f>T("")</f>
      </c>
      <c r="E106" s="3" t="str">
        <f>T("中華書局")</f>
        <v>中華書局</v>
      </c>
      <c r="F106" s="3">
        <v>15</v>
      </c>
      <c r="G106" s="3">
        <v>90</v>
      </c>
    </row>
    <row r="107" spans="1:7" ht="14.25">
      <c r="A107" s="3" t="str">
        <f>T("10105637")</f>
        <v>10105637</v>
      </c>
      <c r="B107" s="14" t="s">
        <v>2546</v>
      </c>
      <c r="C107" s="3" t="s">
        <v>115</v>
      </c>
      <c r="D107" s="3" t="str">
        <f>T("淩鬱之")</f>
        <v>淩鬱之</v>
      </c>
      <c r="E107" s="3" t="str">
        <f>T("中華書局")</f>
        <v>中華書局</v>
      </c>
      <c r="F107" s="3">
        <v>38</v>
      </c>
      <c r="G107" s="3">
        <v>228</v>
      </c>
    </row>
    <row r="108" spans="1:7" ht="14.25">
      <c r="A108" s="3" t="str">
        <f>T("10105666")</f>
        <v>10105666</v>
      </c>
      <c r="B108" s="14" t="s">
        <v>2549</v>
      </c>
      <c r="C108" s="3" t="s">
        <v>116</v>
      </c>
      <c r="D108" s="3" t="str">
        <f>T("金程宇")</f>
        <v>金程宇</v>
      </c>
      <c r="E108" s="3" t="str">
        <f>T("中華書局")</f>
        <v>中華書局</v>
      </c>
      <c r="F108" s="3">
        <v>27</v>
      </c>
      <c r="G108" s="3">
        <v>162</v>
      </c>
    </row>
    <row r="109" spans="1:7" ht="14.25">
      <c r="A109" s="3" t="str">
        <f>T("10105715")</f>
        <v>10105715</v>
      </c>
      <c r="B109" s="14" t="s">
        <v>2552</v>
      </c>
      <c r="C109" s="3" t="s">
        <v>117</v>
      </c>
      <c r="D109" s="3" t="str">
        <f>T("加藤周")</f>
        <v>加藤周</v>
      </c>
      <c r="E109" s="3" t="str">
        <f>T("中華書局")</f>
        <v>中華書局</v>
      </c>
      <c r="F109" s="3">
        <v>25</v>
      </c>
      <c r="G109" s="3">
        <v>150</v>
      </c>
    </row>
    <row r="110" spans="1:7" ht="14.25">
      <c r="A110" s="3" t="str">
        <f>T("10105750")</f>
        <v>10105750</v>
      </c>
      <c r="B110" s="14" t="s">
        <v>2555</v>
      </c>
      <c r="C110" s="3" t="s">
        <v>118</v>
      </c>
      <c r="D110" s="3" t="str">
        <f>T("馬駿著")</f>
        <v>馬駿著</v>
      </c>
      <c r="E110" s="3" t="str">
        <f>T("中華書局")</f>
        <v>中華書局</v>
      </c>
      <c r="F110" s="3">
        <v>24</v>
      </c>
      <c r="G110" s="3">
        <v>144</v>
      </c>
    </row>
    <row r="111" spans="1:7" ht="14.25">
      <c r="A111" s="3" t="str">
        <f>T("10105838")</f>
        <v>10105838</v>
      </c>
      <c r="B111" s="14" t="s">
        <v>2558</v>
      </c>
      <c r="C111" s="3" t="s">
        <v>119</v>
      </c>
      <c r="D111" s="3" t="str">
        <f>T("王宇")</f>
        <v>王宇</v>
      </c>
      <c r="E111" s="3" t="str">
        <f>T("中華書局")</f>
        <v>中華書局</v>
      </c>
      <c r="F111" s="3">
        <v>32</v>
      </c>
      <c r="G111" s="3">
        <v>192</v>
      </c>
    </row>
    <row r="112" spans="1:7" ht="14.25">
      <c r="A112" s="3" t="str">
        <f>T("10106237")</f>
        <v>10106237</v>
      </c>
      <c r="B112" s="14" t="s">
        <v>2561</v>
      </c>
      <c r="C112" s="3" t="s">
        <v>120</v>
      </c>
      <c r="D112" s="3" t="str">
        <f>T("王樹林著")</f>
        <v>王樹林著</v>
      </c>
      <c r="E112" s="3" t="str">
        <f>T("中華書局")</f>
        <v>中華書局</v>
      </c>
      <c r="F112" s="3">
        <v>42</v>
      </c>
      <c r="G112" s="3">
        <v>252</v>
      </c>
    </row>
    <row r="113" spans="1:7" ht="14.25">
      <c r="A113" s="3" t="str">
        <f>T("10106295")</f>
        <v>10106295</v>
      </c>
      <c r="B113" s="14" t="s">
        <v>2564</v>
      </c>
      <c r="C113" s="3" t="s">
        <v>121</v>
      </c>
      <c r="D113" s="3" t="str">
        <f>T("詹福瑞著")</f>
        <v>詹福瑞著</v>
      </c>
      <c r="E113" s="3" t="str">
        <f>T("中華書局")</f>
        <v>中華書局</v>
      </c>
      <c r="F113" s="3">
        <v>49</v>
      </c>
      <c r="G113" s="3">
        <v>294</v>
      </c>
    </row>
    <row r="114" spans="1:7" ht="14.25">
      <c r="A114" s="3" t="str">
        <f>T("10106304")</f>
        <v>10106304</v>
      </c>
      <c r="B114" s="14" t="s">
        <v>2567</v>
      </c>
      <c r="C114" s="3" t="s">
        <v>122</v>
      </c>
      <c r="D114" s="3" t="str">
        <f>T("木齋著")</f>
        <v>木齋著</v>
      </c>
      <c r="E114" s="3" t="str">
        <f>T("中華書局")</f>
        <v>中華書局</v>
      </c>
      <c r="F114" s="3">
        <v>49</v>
      </c>
      <c r="G114" s="3">
        <v>294</v>
      </c>
    </row>
    <row r="115" spans="1:7" ht="14.25">
      <c r="A115" s="3" t="str">
        <f>T("10106316")</f>
        <v>10106316</v>
      </c>
      <c r="B115" s="14" t="s">
        <v>2570</v>
      </c>
      <c r="C115" s="3" t="s">
        <v>123</v>
      </c>
      <c r="D115" s="3" t="str">
        <f>T("陳美東著")</f>
        <v>陳美東著</v>
      </c>
      <c r="E115" s="3" t="str">
        <f>T("中華書局")</f>
        <v>中華書局</v>
      </c>
      <c r="F115" s="3">
        <v>26</v>
      </c>
      <c r="G115" s="3">
        <v>156</v>
      </c>
    </row>
    <row r="116" spans="1:7" ht="14.25">
      <c r="A116" s="3" t="str">
        <f>T("10106360")</f>
        <v>10106360</v>
      </c>
      <c r="B116" s="14" t="s">
        <v>2573</v>
      </c>
      <c r="C116" s="3" t="s">
        <v>124</v>
      </c>
      <c r="D116" s="3" t="str">
        <f>T("李傳軍、宣炳善、馬寶記撰")</f>
        <v>李傳軍、宣炳善、馬寶記撰</v>
      </c>
      <c r="E116" s="3" t="str">
        <f>T("中華書局")</f>
        <v>中華書局</v>
      </c>
      <c r="F116" s="3">
        <v>27</v>
      </c>
      <c r="G116" s="3">
        <v>162</v>
      </c>
    </row>
    <row r="117" spans="1:7" ht="14.25">
      <c r="A117" s="3" t="str">
        <f>T("10106403")</f>
        <v>10106403</v>
      </c>
      <c r="B117" s="14" t="s">
        <v>2576</v>
      </c>
      <c r="C117" s="3" t="s">
        <v>125</v>
      </c>
      <c r="D117" s="3" t="str">
        <f>T("趙敏俐編")</f>
        <v>趙敏俐編</v>
      </c>
      <c r="E117" s="3" t="str">
        <f>T("中華書局")</f>
        <v>中華書局</v>
      </c>
      <c r="F117" s="3">
        <v>40</v>
      </c>
      <c r="G117" s="3">
        <v>240</v>
      </c>
    </row>
    <row r="118" spans="1:7" ht="14.25">
      <c r="A118" s="3" t="str">
        <f>T("10106407")</f>
        <v>10106407</v>
      </c>
      <c r="B118" s="14" t="s">
        <v>2579</v>
      </c>
      <c r="C118" s="3" t="s">
        <v>126</v>
      </c>
      <c r="D118" s="3" t="str">
        <f>T("劉永連")</f>
        <v>劉永連</v>
      </c>
      <c r="E118" s="3" t="str">
        <f>T("中華書局")</f>
        <v>中華書局</v>
      </c>
      <c r="F118" s="3">
        <v>28</v>
      </c>
      <c r="G118" s="3">
        <v>168</v>
      </c>
    </row>
    <row r="119" spans="1:7" ht="14.25">
      <c r="A119" s="3" t="str">
        <f>T("10106429")</f>
        <v>10106429</v>
      </c>
      <c r="B119" s="14" t="s">
        <v>2582</v>
      </c>
      <c r="C119" s="3" t="s">
        <v>127</v>
      </c>
      <c r="D119" s="3" t="str">
        <f>T("編委會")</f>
        <v>編委會</v>
      </c>
      <c r="E119" s="3" t="str">
        <f>T("中華書局")</f>
        <v>中華書局</v>
      </c>
      <c r="F119" s="3">
        <v>780</v>
      </c>
      <c r="G119" s="3">
        <v>4680</v>
      </c>
    </row>
    <row r="120" spans="1:7" ht="14.25">
      <c r="A120" s="3" t="str">
        <f>T("10106465")</f>
        <v>10106465</v>
      </c>
      <c r="B120" s="14" t="s">
        <v>2585</v>
      </c>
      <c r="C120" s="3" t="s">
        <v>128</v>
      </c>
      <c r="D120" s="3" t="str">
        <f>T("薑斐德")</f>
        <v>薑斐德</v>
      </c>
      <c r="E120" s="3" t="str">
        <f>T("中華書局")</f>
        <v>中華書局</v>
      </c>
      <c r="F120" s="3">
        <v>58</v>
      </c>
      <c r="G120" s="3">
        <v>348</v>
      </c>
    </row>
    <row r="121" spans="1:7" ht="14.25">
      <c r="A121" s="3" t="str">
        <f>T("10106578")</f>
        <v>10106578</v>
      </c>
      <c r="B121" s="14" t="s">
        <v>2588</v>
      </c>
      <c r="C121" s="3" t="s">
        <v>129</v>
      </c>
      <c r="D121" s="3" t="str">
        <f>T("程章燦")</f>
        <v>程章燦</v>
      </c>
      <c r="E121" s="3" t="str">
        <f>T("中華書局")</f>
        <v>中華書局</v>
      </c>
      <c r="F121" s="3">
        <v>43</v>
      </c>
      <c r="G121" s="3">
        <v>258</v>
      </c>
    </row>
    <row r="122" spans="1:7" ht="14.25">
      <c r="A122" s="3" t="str">
        <f>T("10106582")</f>
        <v>10106582</v>
      </c>
      <c r="B122" s="14" t="s">
        <v>2591</v>
      </c>
      <c r="C122" s="3" t="s">
        <v>2</v>
      </c>
      <c r="D122" s="3" t="str">
        <f>T("復旦大學文史研究院編")</f>
        <v>復旦大學文史研究院編</v>
      </c>
      <c r="E122" s="3" t="str">
        <f>T("中華書局")</f>
        <v>中華書局</v>
      </c>
      <c r="F122" s="3">
        <v>36</v>
      </c>
      <c r="G122" s="3">
        <v>216</v>
      </c>
    </row>
    <row r="123" spans="1:7" ht="14.25">
      <c r="A123" s="3" t="str">
        <f>T("10106619")</f>
        <v>10106619</v>
      </c>
      <c r="B123" s="14" t="s">
        <v>2594</v>
      </c>
      <c r="C123" s="3" t="s">
        <v>130</v>
      </c>
      <c r="D123" s="3" t="str">
        <f>T("苗懷明")</f>
        <v>苗懷明</v>
      </c>
      <c r="E123" s="3" t="str">
        <f>T("中華書局")</f>
        <v>中華書局</v>
      </c>
      <c r="F123" s="3">
        <v>60</v>
      </c>
      <c r="G123" s="3">
        <v>360</v>
      </c>
    </row>
    <row r="124" spans="1:7" ht="14.25">
      <c r="A124" s="3" t="str">
        <f>T("10106631")</f>
        <v>10106631</v>
      </c>
      <c r="B124" s="14" t="s">
        <v>2597</v>
      </c>
      <c r="C124" s="3" t="s">
        <v>131</v>
      </c>
      <c r="D124" s="3" t="str">
        <f>T("金程式")</f>
        <v>金程式</v>
      </c>
      <c r="E124" s="3" t="str">
        <f>T("中華書局")</f>
        <v>中華書局</v>
      </c>
      <c r="F124" s="3">
        <v>55</v>
      </c>
      <c r="G124" s="3">
        <v>330</v>
      </c>
    </row>
    <row r="125" spans="1:7" ht="14.25">
      <c r="A125" s="3" t="str">
        <f>T("10106748")</f>
        <v>10106748</v>
      </c>
      <c r="B125" s="14" t="s">
        <v>2600</v>
      </c>
      <c r="C125" s="3" t="s">
        <v>132</v>
      </c>
      <c r="D125" s="3" t="str">
        <f>T("胡玫")</f>
        <v>胡玫</v>
      </c>
      <c r="E125" s="3" t="str">
        <f>T("中華書局")</f>
        <v>中華書局</v>
      </c>
      <c r="F125" s="3">
        <v>20</v>
      </c>
      <c r="G125" s="3">
        <v>120</v>
      </c>
    </row>
    <row r="126" spans="1:7" ht="14.25">
      <c r="A126" s="3" t="str">
        <f>T("10106800")</f>
        <v>10106800</v>
      </c>
      <c r="B126" s="14" t="s">
        <v>2603</v>
      </c>
      <c r="C126" s="3" t="s">
        <v>133</v>
      </c>
      <c r="D126" s="3" t="str">
        <f>T("楊金花")</f>
        <v>楊金花</v>
      </c>
      <c r="E126" s="3" t="str">
        <f>T("中華書局")</f>
        <v>中華書局</v>
      </c>
      <c r="F126" s="3">
        <v>26</v>
      </c>
      <c r="G126" s="3">
        <v>156</v>
      </c>
    </row>
    <row r="127" spans="1:7" ht="14.25">
      <c r="A127" s="3" t="str">
        <f>T("10106839")</f>
        <v>10106839</v>
      </c>
      <c r="B127" s="14" t="s">
        <v>2606</v>
      </c>
      <c r="C127" s="3" t="s">
        <v>134</v>
      </c>
      <c r="D127" s="3" t="str">
        <f>T("編委")</f>
        <v>編委</v>
      </c>
      <c r="E127" s="3" t="str">
        <f>T("中華書局")</f>
        <v>中華書局</v>
      </c>
      <c r="F127" s="3">
        <v>15</v>
      </c>
      <c r="G127" s="3">
        <v>90</v>
      </c>
    </row>
    <row r="128" spans="1:7" ht="14.25">
      <c r="A128" s="3" t="str">
        <f>T("10106872")</f>
        <v>10106872</v>
      </c>
      <c r="B128" s="14" t="s">
        <v>2609</v>
      </c>
      <c r="C128" s="3" t="s">
        <v>135</v>
      </c>
      <c r="D128" s="3" t="str">
        <f>T("榮真著")</f>
        <v>榮真著</v>
      </c>
      <c r="E128" s="3" t="str">
        <f>T("中華書局")</f>
        <v>中華書局</v>
      </c>
      <c r="F128" s="3">
        <v>18</v>
      </c>
      <c r="G128" s="3">
        <v>108</v>
      </c>
    </row>
    <row r="129" spans="1:7" ht="14.25">
      <c r="A129" s="3" t="str">
        <f>T("10106873")</f>
        <v>10106873</v>
      </c>
      <c r="B129" s="14" t="s">
        <v>2612</v>
      </c>
      <c r="C129" s="3" t="s">
        <v>136</v>
      </c>
      <c r="D129" s="3" t="str">
        <f>T("張小峰著")</f>
        <v>張小峰著</v>
      </c>
      <c r="E129" s="3" t="str">
        <f>T("中華書局")</f>
        <v>中華書局</v>
      </c>
      <c r="F129" s="3">
        <v>18</v>
      </c>
      <c r="G129" s="3">
        <v>108</v>
      </c>
    </row>
    <row r="130" spans="1:7" ht="14.25">
      <c r="A130" s="3" t="str">
        <f>T("10106874")</f>
        <v>10106874</v>
      </c>
      <c r="B130" s="14" t="s">
        <v>2615</v>
      </c>
      <c r="C130" s="3" t="s">
        <v>137</v>
      </c>
      <c r="D130" s="3" t="str">
        <f>T("陳堅.王欽雙著")</f>
        <v>陳堅.王欽雙著</v>
      </c>
      <c r="E130" s="3" t="str">
        <f>T("中華書局")</f>
        <v>中華書局</v>
      </c>
      <c r="F130" s="3">
        <v>19</v>
      </c>
      <c r="G130" s="3">
        <v>114</v>
      </c>
    </row>
    <row r="131" spans="1:7" ht="14.25">
      <c r="A131" s="3" t="str">
        <f>T("10106878")</f>
        <v>10106878</v>
      </c>
      <c r="B131" s="14" t="s">
        <v>2618</v>
      </c>
      <c r="C131" s="3" t="s">
        <v>138</v>
      </c>
      <c r="D131" s="3" t="str">
        <f>T("周文玖著")</f>
        <v>周文玖著</v>
      </c>
      <c r="E131" s="3" t="str">
        <f>T("中華書局")</f>
        <v>中華書局</v>
      </c>
      <c r="F131" s="3">
        <v>21</v>
      </c>
      <c r="G131" s="3">
        <v>126</v>
      </c>
    </row>
    <row r="132" spans="1:7" ht="14.25">
      <c r="A132" s="3" t="str">
        <f>T("10106880")</f>
        <v>10106880</v>
      </c>
      <c r="B132" s="14" t="s">
        <v>2621</v>
      </c>
      <c r="C132" s="3" t="s">
        <v>139</v>
      </c>
      <c r="D132" s="3" t="str">
        <f>T("陳少銘著")</f>
        <v>陳少銘著</v>
      </c>
      <c r="E132" s="3" t="str">
        <f>T("中華書局")</f>
        <v>中華書局</v>
      </c>
      <c r="F132" s="3">
        <v>15</v>
      </c>
      <c r="G132" s="3">
        <v>90</v>
      </c>
    </row>
    <row r="133" spans="1:7" ht="14.25">
      <c r="A133" s="3" t="str">
        <f>T("10106934")</f>
        <v>10106934</v>
      </c>
      <c r="B133" s="14" t="s">
        <v>2624</v>
      </c>
      <c r="C133" s="3" t="s">
        <v>140</v>
      </c>
      <c r="D133" s="3" t="str">
        <f>T("宋修玲")</f>
        <v>宋修玲</v>
      </c>
      <c r="E133" s="3" t="str">
        <f>T("中華書局")</f>
        <v>中華書局</v>
      </c>
      <c r="F133" s="3">
        <v>22</v>
      </c>
      <c r="G133" s="3">
        <v>132</v>
      </c>
    </row>
    <row r="134" spans="1:7" ht="14.25">
      <c r="A134" s="3" t="str">
        <f>T("10106954")</f>
        <v>10106954</v>
      </c>
      <c r="B134" s="14" t="s">
        <v>2627</v>
      </c>
      <c r="C134" s="3" t="s">
        <v>141</v>
      </c>
      <c r="D134" s="3" t="str">
        <f>T("曹書傑.楊棟著")</f>
        <v>曹書傑.楊棟著</v>
      </c>
      <c r="E134" s="3" t="str">
        <f>T("中華書局")</f>
        <v>中華書局</v>
      </c>
      <c r="F134" s="3">
        <v>15</v>
      </c>
      <c r="G134" s="3">
        <v>90</v>
      </c>
    </row>
    <row r="135" spans="1:7" ht="14.25">
      <c r="A135" s="3" t="str">
        <f>T("10106963")</f>
        <v>10106963</v>
      </c>
      <c r="B135" s="14" t="s">
        <v>2630</v>
      </c>
      <c r="C135" s="3" t="s">
        <v>142</v>
      </c>
      <c r="D135" s="3" t="str">
        <f>T("石濤.劉傑著")</f>
        <v>石濤.劉傑著</v>
      </c>
      <c r="E135" s="3" t="str">
        <f>T("中華書局")</f>
        <v>中華書局</v>
      </c>
      <c r="F135" s="3">
        <v>18</v>
      </c>
      <c r="G135" s="3">
        <v>108</v>
      </c>
    </row>
    <row r="136" spans="1:7" ht="14.25">
      <c r="A136" s="3" t="str">
        <f>T("10106964")</f>
        <v>10106964</v>
      </c>
      <c r="B136" s="14" t="s">
        <v>2633</v>
      </c>
      <c r="C136" s="3" t="s">
        <v>143</v>
      </c>
      <c r="D136" s="3" t="str">
        <f>T("陳龍")</f>
        <v>陳龍</v>
      </c>
      <c r="E136" s="3" t="str">
        <f>T("中華書局")</f>
        <v>中華書局</v>
      </c>
      <c r="F136" s="3">
        <v>18</v>
      </c>
      <c r="G136" s="3">
        <v>108</v>
      </c>
    </row>
    <row r="137" spans="1:7" ht="14.25">
      <c r="A137" s="3" t="str">
        <f>T("10107003")</f>
        <v>10107003</v>
      </c>
      <c r="B137" s="14" t="s">
        <v>2636</v>
      </c>
      <c r="C137" s="3" t="s">
        <v>144</v>
      </c>
      <c r="D137" s="3" t="str">
        <f>T("戴仁柱")</f>
        <v>戴仁柱</v>
      </c>
      <c r="E137" s="3" t="str">
        <f>T("中華書局")</f>
        <v>中華書局</v>
      </c>
      <c r="F137" s="3">
        <v>29</v>
      </c>
      <c r="G137" s="3">
        <v>174</v>
      </c>
    </row>
    <row r="138" spans="1:7" ht="14.25">
      <c r="A138" s="3" t="str">
        <f>T("10107026")</f>
        <v>10107026</v>
      </c>
      <c r="B138" s="14" t="s">
        <v>2639</v>
      </c>
      <c r="C138" s="3" t="s">
        <v>145</v>
      </c>
      <c r="D138" s="3" t="str">
        <f>T("高長山")</f>
        <v>高長山</v>
      </c>
      <c r="E138" s="3" t="str">
        <f>T("中華書局")</f>
        <v>中華書局</v>
      </c>
      <c r="F138" s="3">
        <v>29</v>
      </c>
      <c r="G138" s="3">
        <v>174</v>
      </c>
    </row>
    <row r="139" spans="1:7" ht="14.25">
      <c r="A139" s="3" t="str">
        <f>T("10107116")</f>
        <v>10107116</v>
      </c>
      <c r="B139" s="14" t="s">
        <v>2642</v>
      </c>
      <c r="C139" s="3" t="s">
        <v>146</v>
      </c>
      <c r="D139" s="3" t="str">
        <f>T("杜桂萍")</f>
        <v>杜桂萍</v>
      </c>
      <c r="E139" s="3" t="str">
        <f>T("中華書局")</f>
        <v>中華書局</v>
      </c>
      <c r="F139" s="3">
        <v>48</v>
      </c>
      <c r="G139" s="3">
        <v>288</v>
      </c>
    </row>
    <row r="140" spans="1:7" ht="14.25">
      <c r="A140" s="3" t="str">
        <f>T("10107126")</f>
        <v>10107126</v>
      </c>
      <c r="B140" s="14" t="s">
        <v>2645</v>
      </c>
      <c r="C140" s="3" t="s">
        <v>147</v>
      </c>
      <c r="D140" s="3" t="str">
        <f>T("田曉菲")</f>
        <v>田曉菲</v>
      </c>
      <c r="E140" s="3" t="str">
        <f>T("中華書局")</f>
        <v>中華書局</v>
      </c>
      <c r="F140" s="3">
        <v>48</v>
      </c>
      <c r="G140" s="3">
        <v>288</v>
      </c>
    </row>
    <row r="141" spans="1:7" ht="14.25">
      <c r="A141" s="3" t="str">
        <f>T("10107167")</f>
        <v>10107167</v>
      </c>
      <c r="B141" s="14" t="s">
        <v>2648</v>
      </c>
      <c r="C141" s="3" t="s">
        <v>148</v>
      </c>
      <c r="D141" s="3" t="str">
        <f>T("荒見泰史")</f>
        <v>荒見泰史</v>
      </c>
      <c r="E141" s="3" t="str">
        <f>T("中華書局")</f>
        <v>中華書局</v>
      </c>
      <c r="F141" s="3">
        <v>25</v>
      </c>
      <c r="G141" s="3">
        <v>150</v>
      </c>
    </row>
    <row r="142" spans="1:7" ht="14.25">
      <c r="A142" s="3" t="str">
        <f>T("10107450")</f>
        <v>10107450</v>
      </c>
      <c r="B142" s="14" t="s">
        <v>2655</v>
      </c>
      <c r="C142" s="3" t="s">
        <v>149</v>
      </c>
      <c r="D142" s="3" t="str">
        <f>T("劉婷婷")</f>
        <v>劉婷婷</v>
      </c>
      <c r="E142" s="3" t="str">
        <f>T("中華書局")</f>
        <v>中華書局</v>
      </c>
      <c r="F142" s="3">
        <v>43</v>
      </c>
      <c r="G142" s="3">
        <v>258</v>
      </c>
    </row>
    <row r="143" spans="1:7" ht="14.25">
      <c r="A143" s="3" t="str">
        <f>T("10108220")</f>
        <v>10108220</v>
      </c>
      <c r="B143" s="14" t="s">
        <v>2658</v>
      </c>
      <c r="C143" s="3" t="s">
        <v>150</v>
      </c>
      <c r="D143" s="3" t="str">
        <f>T("李曉燕著")</f>
        <v>李曉燕著</v>
      </c>
      <c r="E143" s="3" t="str">
        <f>T("中華書局")</f>
        <v>中華書局</v>
      </c>
      <c r="F143" s="3">
        <v>39</v>
      </c>
      <c r="G143" s="3">
        <v>234</v>
      </c>
    </row>
    <row r="144" spans="1:7" ht="14.25">
      <c r="A144" s="3" t="str">
        <f>T("10204747")</f>
        <v>10204747</v>
      </c>
      <c r="B144" s="14" t="s">
        <v>2661</v>
      </c>
      <c r="C144" s="3" t="s">
        <v>151</v>
      </c>
      <c r="D144" s="3" t="str">
        <f>T("潘嘉來主編")</f>
        <v>潘嘉來主編</v>
      </c>
      <c r="E144" s="3" t="str">
        <f>T("人民美術")</f>
        <v>人民美術</v>
      </c>
      <c r="F144" s="3">
        <v>22</v>
      </c>
      <c r="G144" s="3">
        <v>132</v>
      </c>
    </row>
    <row r="145" spans="1:7" ht="14.25">
      <c r="A145" s="3" t="str">
        <f>T("10402209")</f>
        <v>10402209</v>
      </c>
      <c r="B145" s="14" t="s">
        <v>2665</v>
      </c>
      <c r="C145" s="3" t="s">
        <v>152</v>
      </c>
      <c r="D145" s="3" t="str">
        <f>T("猛子著")</f>
        <v>猛子著</v>
      </c>
      <c r="E145" s="3" t="str">
        <f>T("中國戲劇")</f>
        <v>中國戲劇</v>
      </c>
      <c r="F145" s="3">
        <v>25</v>
      </c>
      <c r="G145" s="3">
        <v>150</v>
      </c>
    </row>
    <row r="146" spans="1:7" ht="14.25">
      <c r="A146" s="3" t="str">
        <f>T("10402544")</f>
        <v>10402544</v>
      </c>
      <c r="B146" s="14" t="s">
        <v>2669</v>
      </c>
      <c r="C146" s="3" t="s">
        <v>153</v>
      </c>
      <c r="D146" s="3" t="str">
        <f>T("柏冬友")</f>
        <v>柏冬友</v>
      </c>
      <c r="E146" s="3" t="str">
        <f>T("中國戲劇")</f>
        <v>中國戲劇</v>
      </c>
      <c r="F146" s="3">
        <v>14</v>
      </c>
      <c r="G146" s="3">
        <v>84</v>
      </c>
    </row>
    <row r="147" spans="1:7" ht="14.25">
      <c r="A147" s="3" t="str">
        <f>T("10402802")</f>
        <v>10402802</v>
      </c>
      <c r="B147" s="14" t="s">
        <v>2672</v>
      </c>
      <c r="C147" s="3" t="s">
        <v>154</v>
      </c>
      <c r="D147" s="3" t="str">
        <f>T("梅毅")</f>
        <v>梅毅</v>
      </c>
      <c r="E147" s="3" t="str">
        <f>T("中國戲劇")</f>
        <v>中國戲劇</v>
      </c>
      <c r="F147" s="3">
        <v>29.8</v>
      </c>
      <c r="G147" s="3">
        <v>179</v>
      </c>
    </row>
    <row r="148" spans="1:7" ht="14.25">
      <c r="A148" s="3" t="str">
        <f>T("10403260")</f>
        <v>10403260</v>
      </c>
      <c r="B148" s="14" t="s">
        <v>2675</v>
      </c>
      <c r="C148" s="3" t="s">
        <v>155</v>
      </c>
      <c r="D148" s="3" t="str">
        <f>T("寧磊. 著")</f>
        <v>寧磊. 著</v>
      </c>
      <c r="E148" s="3" t="str">
        <f>T("中國戲劇")</f>
        <v>中國戲劇</v>
      </c>
      <c r="F148" s="3">
        <v>28</v>
      </c>
      <c r="G148" s="3">
        <v>168</v>
      </c>
    </row>
    <row r="149" spans="1:7" ht="14.25">
      <c r="A149" s="3" t="str">
        <f>T("10403268")</f>
        <v>10403268</v>
      </c>
      <c r="B149" s="14" t="s">
        <v>2678</v>
      </c>
      <c r="C149" s="3" t="s">
        <v>156</v>
      </c>
      <c r="D149" s="3" t="str">
        <f>T("米爾. 編繪")</f>
        <v>米爾. 編繪</v>
      </c>
      <c r="E149" s="3" t="str">
        <f>T("中國戲劇")</f>
        <v>中國戲劇</v>
      </c>
      <c r="F149" s="3">
        <v>22</v>
      </c>
      <c r="G149" s="3">
        <v>132</v>
      </c>
    </row>
    <row r="150" spans="1:7" ht="14.25">
      <c r="A150" s="3" t="str">
        <f>T("10506781")</f>
        <v>10506781</v>
      </c>
      <c r="B150" s="14" t="s">
        <v>2681</v>
      </c>
      <c r="C150" s="3" t="s">
        <v>157</v>
      </c>
      <c r="D150" s="3" t="str">
        <f>T("唐維")</f>
        <v>唐維</v>
      </c>
      <c r="E150" s="3" t="str">
        <f>T("民族")</f>
        <v>民族</v>
      </c>
      <c r="F150" s="3">
        <v>18</v>
      </c>
      <c r="G150" s="3">
        <v>108</v>
      </c>
    </row>
    <row r="151" spans="1:7" ht="14.25">
      <c r="A151" s="3" t="str">
        <f>T("10510450")</f>
        <v>10510450</v>
      </c>
      <c r="B151" s="14" t="s">
        <v>2685</v>
      </c>
      <c r="C151" s="3" t="s">
        <v>158</v>
      </c>
      <c r="D151" s="3" t="str">
        <f>T("李景隆等著")</f>
        <v>李景隆等著</v>
      </c>
      <c r="E151" s="3" t="str">
        <f>T("民族")</f>
        <v>民族</v>
      </c>
      <c r="F151" s="3">
        <v>38</v>
      </c>
      <c r="G151" s="3">
        <v>228</v>
      </c>
    </row>
    <row r="152" spans="1:7" ht="14.25">
      <c r="A152" s="3" t="str">
        <f>T("10602547")</f>
        <v>10602547</v>
      </c>
      <c r="B152" s="14" t="s">
        <v>2688</v>
      </c>
      <c r="C152" s="3" t="s">
        <v>159</v>
      </c>
      <c r="D152" s="3" t="str">
        <f>T("葉萍萍")</f>
        <v>葉萍萍</v>
      </c>
      <c r="E152" s="3" t="str">
        <f>T("中國電影")</f>
        <v>中國電影</v>
      </c>
      <c r="F152" s="3">
        <v>18</v>
      </c>
      <c r="G152" s="3">
        <v>108</v>
      </c>
    </row>
    <row r="153" spans="1:7" ht="14.25">
      <c r="A153" s="3" t="str">
        <f>T("10602580")</f>
        <v>10602580</v>
      </c>
      <c r="B153" s="14" t="s">
        <v>2692</v>
      </c>
      <c r="C153" s="3" t="s">
        <v>160</v>
      </c>
      <c r="D153" s="3" t="str">
        <f>T("段雲球")</f>
        <v>段雲球</v>
      </c>
      <c r="E153" s="3" t="str">
        <f>T("中國電影")</f>
        <v>中國電影</v>
      </c>
      <c r="F153" s="3">
        <v>20</v>
      </c>
      <c r="G153" s="3">
        <v>120</v>
      </c>
    </row>
    <row r="154" spans="1:7" ht="14.25">
      <c r="A154" s="3" t="str">
        <f>T("10602777")</f>
        <v>10602777</v>
      </c>
      <c r="B154" s="14" t="s">
        <v>2695</v>
      </c>
      <c r="C154" s="3" t="s">
        <v>161</v>
      </c>
      <c r="D154" s="3" t="str">
        <f>T("雷元江")</f>
        <v>雷元江</v>
      </c>
      <c r="E154" s="3" t="str">
        <f>T("中國電影")</f>
        <v>中國電影</v>
      </c>
      <c r="F154" s="3">
        <v>32</v>
      </c>
      <c r="G154" s="3">
        <v>192</v>
      </c>
    </row>
    <row r="155" spans="1:7" ht="14.25">
      <c r="A155" s="3" t="str">
        <f>T("10802151")</f>
        <v>10802151</v>
      </c>
      <c r="B155" s="14" t="s">
        <v>2698</v>
      </c>
      <c r="C155" s="3" t="s">
        <v>162</v>
      </c>
      <c r="D155" s="3" t="str">
        <f>T("陳峻")</f>
        <v>陳峻</v>
      </c>
      <c r="E155" s="3" t="str">
        <f>T("北京三聯")</f>
        <v>北京三聯</v>
      </c>
      <c r="F155" s="3"/>
      <c r="G155" s="3">
        <v>185</v>
      </c>
    </row>
    <row r="156" spans="1:7" ht="14.25">
      <c r="A156" s="3" t="str">
        <f>T("10802558")</f>
        <v>10802558</v>
      </c>
      <c r="B156" s="14" t="s">
        <v>2702</v>
      </c>
      <c r="C156" s="3" t="s">
        <v>163</v>
      </c>
      <c r="D156" s="3" t="str">
        <f>T("林鶴")</f>
        <v>林鶴</v>
      </c>
      <c r="E156" s="3" t="str">
        <f>T("生活.讀書")</f>
        <v>生活.讀書</v>
      </c>
      <c r="F156" s="3">
        <v>64</v>
      </c>
      <c r="G156" s="3">
        <v>384</v>
      </c>
    </row>
    <row r="157" spans="1:7" ht="14.25">
      <c r="A157" s="3" t="str">
        <f>T("10802559")</f>
        <v>10802559</v>
      </c>
      <c r="B157" s="14" t="s">
        <v>2706</v>
      </c>
      <c r="C157" s="3" t="s">
        <v>164</v>
      </c>
      <c r="D157" s="3" t="str">
        <f>T("李清志")</f>
        <v>李清志</v>
      </c>
      <c r="E157" s="3" t="str">
        <f>T("生活.讀書")</f>
        <v>生活.讀書</v>
      </c>
      <c r="F157" s="3">
        <v>39.8</v>
      </c>
      <c r="G157" s="3">
        <v>239</v>
      </c>
    </row>
    <row r="158" spans="1:7" ht="14.25">
      <c r="A158" s="3" t="str">
        <f>T("10802649")</f>
        <v>10802649</v>
      </c>
      <c r="B158" s="14" t="s">
        <v>2709</v>
      </c>
      <c r="C158" s="3" t="s">
        <v>165</v>
      </c>
      <c r="D158" s="3" t="str">
        <f>T("鄧廣銘")</f>
        <v>鄧廣銘</v>
      </c>
      <c r="E158" s="3" t="str">
        <f>T("生活.讀書")</f>
        <v>生活.讀書</v>
      </c>
      <c r="F158" s="3">
        <v>15</v>
      </c>
      <c r="G158" s="3">
        <v>90</v>
      </c>
    </row>
    <row r="159" spans="1:7" ht="14.25">
      <c r="A159" s="3" t="str">
        <f>T("10802877")</f>
        <v>10802877</v>
      </c>
      <c r="B159" s="14" t="s">
        <v>2712</v>
      </c>
      <c r="C159" s="3" t="s">
        <v>166</v>
      </c>
      <c r="D159" s="3" t="str">
        <f>T("吳曉東")</f>
        <v>吳曉東</v>
      </c>
      <c r="E159" s="3" t="str">
        <f>T("北京三聯")</f>
        <v>北京三聯</v>
      </c>
      <c r="F159" s="3">
        <v>22</v>
      </c>
      <c r="G159" s="3">
        <v>132</v>
      </c>
    </row>
    <row r="160" spans="1:7" ht="14.25">
      <c r="A160" s="3" t="str">
        <f>T("10802902")</f>
        <v>10802902</v>
      </c>
      <c r="B160" s="14" t="s">
        <v>2715</v>
      </c>
      <c r="C160" s="3" t="s">
        <v>167</v>
      </c>
      <c r="D160" s="3" t="str">
        <f>T("汪暉")</f>
        <v>汪暉</v>
      </c>
      <c r="E160" s="3" t="str">
        <f>T("北京三聯")</f>
        <v>北京三聯</v>
      </c>
      <c r="F160" s="3">
        <v>46</v>
      </c>
      <c r="G160" s="3">
        <v>276</v>
      </c>
    </row>
    <row r="161" spans="1:7" ht="14.25">
      <c r="A161" s="3" t="str">
        <f>T("10802916")</f>
        <v>10802916</v>
      </c>
      <c r="B161" s="14" t="s">
        <v>2718</v>
      </c>
      <c r="C161" s="3" t="s">
        <v>168</v>
      </c>
      <c r="D161" s="3" t="str">
        <f>T("展望")</f>
        <v>展望</v>
      </c>
      <c r="E161" s="3" t="str">
        <f>T("生活.讀書")</f>
        <v>生活.讀書</v>
      </c>
      <c r="F161" s="3">
        <v>48</v>
      </c>
      <c r="G161" s="3">
        <v>288</v>
      </c>
    </row>
    <row r="162" spans="1:7" ht="14.25">
      <c r="A162" s="3" t="str">
        <f>T("10802976")</f>
        <v>10802976</v>
      </c>
      <c r="B162" s="14" t="s">
        <v>2721</v>
      </c>
      <c r="C162" s="3" t="s">
        <v>169</v>
      </c>
      <c r="D162" s="3" t="str">
        <f>T("哈里森")</f>
        <v>哈里森</v>
      </c>
      <c r="E162" s="3" t="str">
        <f>T("北京三聯")</f>
        <v>北京三聯</v>
      </c>
      <c r="F162" s="3">
        <v>19</v>
      </c>
      <c r="G162" s="3">
        <v>114</v>
      </c>
    </row>
    <row r="163" spans="1:7" ht="14.25">
      <c r="A163" s="3" t="str">
        <f>T("10803045")</f>
        <v>10803045</v>
      </c>
      <c r="B163" s="14" t="s">
        <v>2724</v>
      </c>
      <c r="C163" s="3" t="s">
        <v>170</v>
      </c>
      <c r="D163" s="3" t="str">
        <f>T("羅小韻")</f>
        <v>羅小韻</v>
      </c>
      <c r="E163" s="3" t="str">
        <f>T("生活.讀書")</f>
        <v>生活.讀書</v>
      </c>
      <c r="F163" s="3">
        <v>36</v>
      </c>
      <c r="G163" s="3">
        <v>216</v>
      </c>
    </row>
    <row r="164" spans="1:7" ht="14.25">
      <c r="A164" s="3" t="str">
        <f>T("10803062")</f>
        <v>10803062</v>
      </c>
      <c r="B164" s="14" t="s">
        <v>2727</v>
      </c>
      <c r="C164" s="3" t="s">
        <v>171</v>
      </c>
      <c r="D164" s="3" t="str">
        <f>T("夏曉虹")</f>
        <v>夏曉虹</v>
      </c>
      <c r="E164" s="3" t="str">
        <f>T("北京三聯")</f>
        <v>北京三聯</v>
      </c>
      <c r="F164" s="3">
        <v>39.8</v>
      </c>
      <c r="G164" s="3">
        <v>239</v>
      </c>
    </row>
    <row r="165" spans="1:7" ht="14.25">
      <c r="A165" s="3" t="str">
        <f>T("10803138")</f>
        <v>10803138</v>
      </c>
      <c r="B165" s="14" t="s">
        <v>2730</v>
      </c>
      <c r="C165" s="3" t="s">
        <v>172</v>
      </c>
      <c r="D165" s="3" t="str">
        <f>T("唐克揚")</f>
        <v>唐克揚</v>
      </c>
      <c r="E165" s="3" t="str">
        <f>T("北京三聯")</f>
        <v>北京三聯</v>
      </c>
      <c r="F165" s="3">
        <v>38</v>
      </c>
      <c r="G165" s="3">
        <v>228</v>
      </c>
    </row>
    <row r="166" spans="1:7" ht="14.25">
      <c r="A166" s="3" t="str">
        <f>T("10803157")</f>
        <v>10803157</v>
      </c>
      <c r="B166" s="14" t="s">
        <v>2733</v>
      </c>
      <c r="C166" s="3" t="s">
        <v>173</v>
      </c>
      <c r="D166" s="3" t="str">
        <f>T("雷聞")</f>
        <v>雷聞</v>
      </c>
      <c r="E166" s="3" t="str">
        <f>T("北京三聯")</f>
        <v>北京三聯</v>
      </c>
      <c r="F166" s="3">
        <v>35</v>
      </c>
      <c r="G166" s="3">
        <v>210</v>
      </c>
    </row>
    <row r="167" spans="1:7" ht="14.25">
      <c r="A167" s="3" t="str">
        <f>T("10803226")</f>
        <v>10803226</v>
      </c>
      <c r="B167" s="14" t="s">
        <v>2736</v>
      </c>
      <c r="C167" s="3" t="s">
        <v>174</v>
      </c>
      <c r="D167" s="3" t="str">
        <f>T("蘇力")</f>
        <v>蘇力</v>
      </c>
      <c r="E167" s="3" t="str">
        <f>T("北京三聯")</f>
        <v>北京三聯</v>
      </c>
      <c r="F167" s="3">
        <v>49</v>
      </c>
      <c r="G167" s="3">
        <v>294</v>
      </c>
    </row>
    <row r="168" spans="1:7" ht="14.25">
      <c r="A168" s="3" t="str">
        <f>T("10803313")</f>
        <v>10803313</v>
      </c>
      <c r="B168" s="14" t="s">
        <v>2739</v>
      </c>
      <c r="C168" s="3" t="s">
        <v>175</v>
      </c>
      <c r="D168" s="3" t="str">
        <f>T("馮驥才")</f>
        <v>馮驥才</v>
      </c>
      <c r="E168" s="3" t="str">
        <f>T("北京三聯")</f>
        <v>北京三聯</v>
      </c>
      <c r="F168" s="3">
        <v>20</v>
      </c>
      <c r="G168" s="3">
        <v>120</v>
      </c>
    </row>
    <row r="169" spans="1:7" ht="14.25">
      <c r="A169" s="3" t="str">
        <f>T("10803330")</f>
        <v>10803330</v>
      </c>
      <c r="B169" s="14" t="s">
        <v>2742</v>
      </c>
      <c r="C169" s="3" t="s">
        <v>176</v>
      </c>
      <c r="D169" s="3" t="str">
        <f>T("張光直")</f>
        <v>張光直</v>
      </c>
      <c r="E169" s="3" t="str">
        <f>T("北京三聯")</f>
        <v>北京三聯</v>
      </c>
      <c r="F169" s="3">
        <v>21</v>
      </c>
      <c r="G169" s="3">
        <v>126</v>
      </c>
    </row>
    <row r="170" spans="1:7" ht="14.25">
      <c r="A170" s="3" t="str">
        <f>T("10803346")</f>
        <v>10803346</v>
      </c>
      <c r="B170" s="14" t="s">
        <v>2745</v>
      </c>
      <c r="C170" s="3" t="s">
        <v>177</v>
      </c>
      <c r="D170" s="3" t="str">
        <f>T("傅漢思")</f>
        <v>傅漢思</v>
      </c>
      <c r="E170" s="3" t="str">
        <f>T("北京三聯")</f>
        <v>北京三聯</v>
      </c>
      <c r="F170" s="3">
        <v>36</v>
      </c>
      <c r="G170" s="3">
        <v>216</v>
      </c>
    </row>
    <row r="171" spans="1:7" ht="14.25">
      <c r="A171" s="3" t="str">
        <f>T("10803354")</f>
        <v>10803354</v>
      </c>
      <c r="B171" s="14" t="s">
        <v>2748</v>
      </c>
      <c r="C171" s="3" t="s">
        <v>178</v>
      </c>
      <c r="D171" s="3" t="str">
        <f>T("呂正惠")</f>
        <v>呂正惠</v>
      </c>
      <c r="E171" s="3" t="str">
        <f>T("北京三聯")</f>
        <v>北京三聯</v>
      </c>
      <c r="F171" s="3">
        <v>44.8</v>
      </c>
      <c r="G171" s="3">
        <v>269</v>
      </c>
    </row>
    <row r="172" spans="1:7" ht="14.25">
      <c r="A172" s="3" t="str">
        <f>T("10803365")</f>
        <v>10803365</v>
      </c>
      <c r="B172" s="14" t="s">
        <v>2751</v>
      </c>
      <c r="C172" s="3" t="s">
        <v>179</v>
      </c>
      <c r="D172" s="3" t="str">
        <f>T("紀大椿")</f>
        <v>紀大椿</v>
      </c>
      <c r="E172" s="3" t="str">
        <f>T("北京三聯")</f>
        <v>北京三聯</v>
      </c>
      <c r="F172" s="3">
        <v>18</v>
      </c>
      <c r="G172" s="3">
        <v>108</v>
      </c>
    </row>
    <row r="173" spans="1:7" ht="14.25">
      <c r="A173" s="3" t="str">
        <f>T("10803608")</f>
        <v>10803608</v>
      </c>
      <c r="B173" s="14" t="s">
        <v>2236</v>
      </c>
      <c r="C173" s="3" t="s">
        <v>180</v>
      </c>
      <c r="D173" s="3" t="str">
        <f>T("祝勇")</f>
        <v>祝勇</v>
      </c>
      <c r="E173" s="3" t="str">
        <f>T("三聯")</f>
        <v>三聯</v>
      </c>
      <c r="F173" s="3">
        <v>37</v>
      </c>
      <c r="G173" s="3">
        <v>222</v>
      </c>
    </row>
    <row r="174" spans="1:7" ht="14.25">
      <c r="A174" s="3" t="str">
        <f>T("11007203")</f>
        <v>11007203</v>
      </c>
      <c r="B174" s="14" t="s">
        <v>2757</v>
      </c>
      <c r="C174" s="3" t="s">
        <v>181</v>
      </c>
      <c r="D174" s="3" t="str">
        <f>T("王金泰")</f>
        <v>王金泰</v>
      </c>
      <c r="E174" s="3" t="str">
        <f>T("科學")</f>
        <v>科學</v>
      </c>
      <c r="F174" s="3">
        <v>19.8</v>
      </c>
      <c r="G174" s="3">
        <v>119</v>
      </c>
    </row>
    <row r="175" spans="1:7" ht="14.25">
      <c r="A175" s="3" t="str">
        <f>T("11007205")</f>
        <v>11007205</v>
      </c>
      <c r="B175" s="14" t="s">
        <v>2760</v>
      </c>
      <c r="C175" s="3" t="s">
        <v>182</v>
      </c>
      <c r="D175" s="3" t="str">
        <f>T("王金泰編繪")</f>
        <v>王金泰編繪</v>
      </c>
      <c r="E175" s="3" t="str">
        <f>T("科學普及")</f>
        <v>科學普及</v>
      </c>
      <c r="F175" s="3">
        <v>19.8</v>
      </c>
      <c r="G175" s="3">
        <v>119</v>
      </c>
    </row>
    <row r="176" spans="1:7" ht="14.25">
      <c r="A176" s="3" t="str">
        <f>T("11131163")</f>
        <v>11131163</v>
      </c>
      <c r="B176" s="14" t="s">
        <v>2764</v>
      </c>
      <c r="C176" s="3" t="s">
        <v>183</v>
      </c>
      <c r="D176" s="3" t="str">
        <f>T("薩特勒")</f>
        <v>薩特勒</v>
      </c>
      <c r="E176" s="3" t="str">
        <f>T("機械工業")</f>
        <v>機械工業</v>
      </c>
      <c r="F176" s="3">
        <v>45</v>
      </c>
      <c r="G176" s="3">
        <v>270</v>
      </c>
    </row>
    <row r="177" spans="1:7" ht="14.25">
      <c r="A177" s="3" t="str">
        <f>T("11206126")</f>
        <v>11206126</v>
      </c>
      <c r="B177" s="14" t="s">
        <v>2768</v>
      </c>
      <c r="C177" s="3" t="s">
        <v>184</v>
      </c>
      <c r="D177" s="3">
        <f>T("")</f>
      </c>
      <c r="E177" s="3" t="str">
        <f>T("建築工業")</f>
        <v>建築工業</v>
      </c>
      <c r="F177" s="3">
        <v>39</v>
      </c>
      <c r="G177" s="3">
        <v>234</v>
      </c>
    </row>
    <row r="178" spans="1:7" ht="14.25">
      <c r="A178" s="3" t="str">
        <f>T("11207122")</f>
        <v>11207122</v>
      </c>
      <c r="B178" s="14" t="s">
        <v>2771</v>
      </c>
      <c r="C178" s="3" t="s">
        <v>185</v>
      </c>
      <c r="D178" s="3">
        <f>T("")</f>
      </c>
      <c r="E178" s="3" t="str">
        <f>T("建築工業")</f>
        <v>建築工業</v>
      </c>
      <c r="F178" s="3">
        <v>88</v>
      </c>
      <c r="G178" s="3">
        <v>528</v>
      </c>
    </row>
    <row r="179" spans="1:7" ht="14.25">
      <c r="A179" s="3" t="str">
        <f>T("11207529")</f>
        <v>11207529</v>
      </c>
      <c r="B179" s="14" t="s">
        <v>2773</v>
      </c>
      <c r="C179" s="3" t="s">
        <v>186</v>
      </c>
      <c r="D179" s="3" t="str">
        <f>T("魏來")</f>
        <v>魏來</v>
      </c>
      <c r="E179" s="3" t="str">
        <f>T("中國建築")</f>
        <v>中國建築</v>
      </c>
      <c r="F179" s="3">
        <v>76</v>
      </c>
      <c r="G179" s="3">
        <v>456</v>
      </c>
    </row>
    <row r="180" spans="1:7" ht="14.25">
      <c r="A180" s="3" t="str">
        <f>T("11209245")</f>
        <v>11209245</v>
      </c>
      <c r="B180" s="14" t="s">
        <v>2777</v>
      </c>
      <c r="C180" s="3" t="s">
        <v>187</v>
      </c>
      <c r="D180" s="3" t="str">
        <f>T("閻東")</f>
        <v>閻東</v>
      </c>
      <c r="E180" s="3" t="str">
        <f>T("中國建築")</f>
        <v>中國建築</v>
      </c>
      <c r="F180" s="3">
        <v>80</v>
      </c>
      <c r="G180" s="3">
        <v>480</v>
      </c>
    </row>
    <row r="181" spans="1:7" ht="14.25">
      <c r="A181" s="3" t="str">
        <f>T("11209263")</f>
        <v>11209263</v>
      </c>
      <c r="B181" s="14" t="s">
        <v>2780</v>
      </c>
      <c r="C181" s="3" t="s">
        <v>188</v>
      </c>
      <c r="D181" s="3" t="str">
        <f>T("周紅藝")</f>
        <v>周紅藝</v>
      </c>
      <c r="E181" s="3" t="str">
        <f>T("建築工業")</f>
        <v>建築工業</v>
      </c>
      <c r="F181" s="3">
        <v>46</v>
      </c>
      <c r="G181" s="3">
        <v>276</v>
      </c>
    </row>
    <row r="182" spans="1:7" ht="14.25">
      <c r="A182" s="3" t="str">
        <f>T("11211569")</f>
        <v>11211569</v>
      </c>
      <c r="B182" s="14" t="s">
        <v>2783</v>
      </c>
      <c r="C182" s="3" t="s">
        <v>189</v>
      </c>
      <c r="D182" s="3" t="str">
        <f>T("張路峰")</f>
        <v>張路峰</v>
      </c>
      <c r="E182" s="3" t="str">
        <f>T("建築書店")</f>
        <v>建築書店</v>
      </c>
      <c r="F182" s="3">
        <v>30</v>
      </c>
      <c r="G182" s="3">
        <v>180</v>
      </c>
    </row>
    <row r="183" spans="1:7" ht="14.25">
      <c r="A183" s="3" t="str">
        <f>T("11309049")</f>
        <v>11309049</v>
      </c>
      <c r="B183" s="14" t="s">
        <v>2787</v>
      </c>
      <c r="C183" s="3" t="s">
        <v>190</v>
      </c>
      <c r="D183" s="3" t="str">
        <f>T("葉曙光")</f>
        <v>葉曙光</v>
      </c>
      <c r="E183" s="3" t="str">
        <f>T("中國鐵道")</f>
        <v>中國鐵道</v>
      </c>
      <c r="F183" s="3">
        <v>38</v>
      </c>
      <c r="G183" s="3">
        <v>228</v>
      </c>
    </row>
    <row r="184" spans="1:7" ht="14.25">
      <c r="A184" s="3" t="str">
        <f>T("11516181")</f>
        <v>11516181</v>
      </c>
      <c r="B184" s="14" t="s">
        <v>2791</v>
      </c>
      <c r="C184" s="3" t="s">
        <v>191</v>
      </c>
      <c r="D184" s="3" t="str">
        <f>T("劉佳維")</f>
        <v>劉佳維</v>
      </c>
      <c r="E184" s="3" t="str">
        <f>T("人民電郵")</f>
        <v>人民電郵</v>
      </c>
      <c r="F184" s="3">
        <v>48</v>
      </c>
      <c r="G184" s="3">
        <v>288</v>
      </c>
    </row>
    <row r="185" spans="1:7" ht="14.25">
      <c r="A185" s="3" t="str">
        <f>T("11522969")</f>
        <v>11522969</v>
      </c>
      <c r="B185" s="14" t="s">
        <v>2795</v>
      </c>
      <c r="C185" s="3" t="s">
        <v>192</v>
      </c>
      <c r="D185" s="3" t="str">
        <f>T("墨刻編輯部")</f>
        <v>墨刻編輯部</v>
      </c>
      <c r="E185" s="3" t="str">
        <f>T("人民電郵")</f>
        <v>人民電郵</v>
      </c>
      <c r="F185" s="3">
        <v>38</v>
      </c>
      <c r="G185" s="3">
        <v>228</v>
      </c>
    </row>
    <row r="186" spans="1:7" ht="14.25">
      <c r="A186" s="3" t="str">
        <f>T("11523806")</f>
        <v>11523806</v>
      </c>
      <c r="B186" s="14" t="s">
        <v>2798</v>
      </c>
      <c r="C186" s="3" t="s">
        <v>193</v>
      </c>
      <c r="D186" s="3" t="str">
        <f>T("劉志海")</f>
        <v>劉志海</v>
      </c>
      <c r="E186" s="3" t="str">
        <f>T("人民電郵")</f>
        <v>人民電郵</v>
      </c>
      <c r="F186" s="3">
        <v>29</v>
      </c>
      <c r="G186" s="3">
        <v>174</v>
      </c>
    </row>
    <row r="187" spans="1:7" ht="14.25">
      <c r="A187" s="3" t="str">
        <f>T("11703792")</f>
        <v>11703792</v>
      </c>
      <c r="B187" s="14" t="s">
        <v>2801</v>
      </c>
      <c r="C187" s="3" t="s">
        <v>194</v>
      </c>
      <c r="D187" s="3" t="str">
        <f>T("彭勝權")</f>
        <v>彭勝權</v>
      </c>
      <c r="E187" s="3" t="str">
        <f>T("人民衛生")</f>
        <v>人民衛生</v>
      </c>
      <c r="F187" s="3">
        <v>127</v>
      </c>
      <c r="G187" s="3">
        <v>762</v>
      </c>
    </row>
    <row r="188" spans="1:7" ht="14.25">
      <c r="A188" s="3" t="str">
        <f>T("11710162")</f>
        <v>11710162</v>
      </c>
      <c r="B188" s="14" t="s">
        <v>2805</v>
      </c>
      <c r="C188" s="3" t="s">
        <v>195</v>
      </c>
      <c r="D188" s="3" t="str">
        <f>T("曹洪欣")</f>
        <v>曹洪欣</v>
      </c>
      <c r="E188" s="3" t="str">
        <f>T("人民衛生")</f>
        <v>人民衛生</v>
      </c>
      <c r="F188" s="3">
        <v>188</v>
      </c>
      <c r="G188" s="3">
        <v>1128</v>
      </c>
    </row>
    <row r="189" spans="1:7" ht="14.25">
      <c r="A189" s="3" t="str">
        <f>T("11710163")</f>
        <v>11710163</v>
      </c>
      <c r="B189" s="14" t="s">
        <v>2808</v>
      </c>
      <c r="C189" s="3" t="s">
        <v>196</v>
      </c>
      <c r="D189" s="3" t="str">
        <f>T("曹洪欣")</f>
        <v>曹洪欣</v>
      </c>
      <c r="E189" s="3" t="str">
        <f>T("人民衛生")</f>
        <v>人民衛生</v>
      </c>
      <c r="F189" s="3">
        <v>184</v>
      </c>
      <c r="G189" s="3">
        <v>1104</v>
      </c>
    </row>
    <row r="190" spans="1:7" ht="14.25">
      <c r="A190" s="3" t="str">
        <f>T("11710164")</f>
        <v>11710164</v>
      </c>
      <c r="B190" s="14" t="s">
        <v>2810</v>
      </c>
      <c r="C190" s="3" t="s">
        <v>197</v>
      </c>
      <c r="D190" s="3" t="str">
        <f>T("曹洪欣")</f>
        <v>曹洪欣</v>
      </c>
      <c r="E190" s="3" t="str">
        <f>T("人民衛生")</f>
        <v>人民衛生</v>
      </c>
      <c r="F190" s="3">
        <v>215</v>
      </c>
      <c r="G190" s="3">
        <v>1290</v>
      </c>
    </row>
    <row r="191" spans="1:7" ht="14.25">
      <c r="A191" s="3" t="str">
        <f>T("11710173")</f>
        <v>11710173</v>
      </c>
      <c r="B191" s="14" t="s">
        <v>2812</v>
      </c>
      <c r="C191" s="3" t="s">
        <v>198</v>
      </c>
      <c r="D191" s="3" t="str">
        <f>T("曹洪欣")</f>
        <v>曹洪欣</v>
      </c>
      <c r="E191" s="3" t="str">
        <f>T("人民衛生")</f>
        <v>人民衛生</v>
      </c>
      <c r="F191" s="3">
        <v>208</v>
      </c>
      <c r="G191" s="3">
        <v>1248</v>
      </c>
    </row>
    <row r="192" spans="1:7" ht="14.25">
      <c r="A192" s="3" t="str">
        <f>T("11710174")</f>
        <v>11710174</v>
      </c>
      <c r="B192" s="14" t="s">
        <v>2814</v>
      </c>
      <c r="C192" s="3" t="s">
        <v>199</v>
      </c>
      <c r="D192" s="3" t="str">
        <f>T("曹洪欣")</f>
        <v>曹洪欣</v>
      </c>
      <c r="E192" s="3" t="str">
        <f>T("人民衛生")</f>
        <v>人民衛生</v>
      </c>
      <c r="F192" s="3">
        <v>198</v>
      </c>
      <c r="G192" s="3">
        <v>1188</v>
      </c>
    </row>
    <row r="193" spans="1:7" ht="14.25">
      <c r="A193" s="3" t="str">
        <f>T("11710175")</f>
        <v>11710175</v>
      </c>
      <c r="B193" s="14" t="s">
        <v>2816</v>
      </c>
      <c r="C193" s="3" t="s">
        <v>200</v>
      </c>
      <c r="D193" s="3" t="str">
        <f>T("曹洪欣")</f>
        <v>曹洪欣</v>
      </c>
      <c r="E193" s="3" t="str">
        <f>T("人民衛生")</f>
        <v>人民衛生</v>
      </c>
      <c r="F193" s="3">
        <v>225</v>
      </c>
      <c r="G193" s="3">
        <v>1350</v>
      </c>
    </row>
    <row r="194" spans="1:7" ht="14.25">
      <c r="A194" s="3" t="str">
        <f>T("11710184")</f>
        <v>11710184</v>
      </c>
      <c r="B194" s="14" t="s">
        <v>2818</v>
      </c>
      <c r="C194" s="3" t="s">
        <v>201</v>
      </c>
      <c r="D194" s="3" t="str">
        <f>T("曹洪欣")</f>
        <v>曹洪欣</v>
      </c>
      <c r="E194" s="3" t="str">
        <f>T("人民衛生")</f>
        <v>人民衛生</v>
      </c>
      <c r="F194" s="3">
        <v>188</v>
      </c>
      <c r="G194" s="3">
        <v>1128</v>
      </c>
    </row>
    <row r="195" spans="1:7" ht="14.25">
      <c r="A195" s="3" t="str">
        <f>T("11710185")</f>
        <v>11710185</v>
      </c>
      <c r="B195" s="14" t="s">
        <v>2820</v>
      </c>
      <c r="C195" s="3" t="s">
        <v>202</v>
      </c>
      <c r="D195" s="3" t="str">
        <f>T("曹洪欣")</f>
        <v>曹洪欣</v>
      </c>
      <c r="E195" s="3" t="str">
        <f>T("人民衛生")</f>
        <v>人民衛生</v>
      </c>
      <c r="F195" s="3">
        <v>188</v>
      </c>
      <c r="G195" s="3">
        <v>1128</v>
      </c>
    </row>
    <row r="196" spans="1:7" ht="14.25">
      <c r="A196" s="3" t="str">
        <f>T("11710186")</f>
        <v>11710186</v>
      </c>
      <c r="B196" s="14" t="s">
        <v>2822</v>
      </c>
      <c r="C196" s="3" t="s">
        <v>203</v>
      </c>
      <c r="D196" s="3" t="str">
        <f>T("曹洪欣")</f>
        <v>曹洪欣</v>
      </c>
      <c r="E196" s="3" t="str">
        <f>T("人民衛生")</f>
        <v>人民衛生</v>
      </c>
      <c r="F196" s="3">
        <v>216</v>
      </c>
      <c r="G196" s="3">
        <v>1296</v>
      </c>
    </row>
    <row r="197" spans="1:7" ht="14.25">
      <c r="A197" s="3" t="str">
        <f>T("11903155")</f>
        <v>11903155</v>
      </c>
      <c r="B197" s="14" t="s">
        <v>2824</v>
      </c>
      <c r="C197" s="3" t="s">
        <v>204</v>
      </c>
      <c r="D197" s="3" t="str">
        <f>T("李知宴")</f>
        <v>李知宴</v>
      </c>
      <c r="E197" s="3" t="str">
        <f>T("外文")</f>
        <v>外文</v>
      </c>
      <c r="F197" s="3">
        <v>58</v>
      </c>
      <c r="G197" s="3">
        <v>348</v>
      </c>
    </row>
    <row r="198" spans="1:7" ht="14.25">
      <c r="A198" s="3" t="str">
        <f>T("11906400")</f>
        <v>11906400</v>
      </c>
      <c r="B198" s="14" t="s">
        <v>2828</v>
      </c>
      <c r="C198" s="3" t="s">
        <v>205</v>
      </c>
      <c r="D198" s="3" t="str">
        <f>T("張悅. 編著")</f>
        <v>張悅. 編著</v>
      </c>
      <c r="E198" s="3" t="str">
        <f>T("外文")</f>
        <v>外文</v>
      </c>
      <c r="F198" s="3">
        <v>26.8</v>
      </c>
      <c r="G198" s="3">
        <v>161</v>
      </c>
    </row>
    <row r="199" spans="1:7" ht="14.25">
      <c r="A199" s="3" t="str">
        <f>T("12111439")</f>
        <v>12111439</v>
      </c>
      <c r="B199" s="14" t="s">
        <v>2831</v>
      </c>
      <c r="C199" s="3" t="s">
        <v>206</v>
      </c>
      <c r="D199" s="3" t="str">
        <f>T("(韓) 鄭彩恩. 著")</f>
        <v>(韓) 鄭彩恩. 著</v>
      </c>
      <c r="E199" s="3" t="str">
        <f>T("電子工業")</f>
        <v>電子工業</v>
      </c>
      <c r="F199" s="3">
        <v>34.8</v>
      </c>
      <c r="G199" s="3">
        <v>209</v>
      </c>
    </row>
    <row r="200" spans="1:7" ht="14.25">
      <c r="A200" s="3" t="str">
        <f>T("12206863")</f>
        <v>12206863</v>
      </c>
      <c r="B200" s="14" t="s">
        <v>2835</v>
      </c>
      <c r="C200" s="3" t="s">
        <v>207</v>
      </c>
      <c r="D200" s="3" t="str">
        <f>T("王文華")</f>
        <v>王文華</v>
      </c>
      <c r="E200" s="3" t="str">
        <f>T("化學工業")</f>
        <v>化學工業</v>
      </c>
      <c r="F200" s="3">
        <v>19.9</v>
      </c>
      <c r="G200" s="3">
        <v>119</v>
      </c>
    </row>
    <row r="201" spans="1:7" ht="14.25">
      <c r="A201" s="3" t="str">
        <f>T("20008695")</f>
        <v>20008695</v>
      </c>
      <c r="B201" s="14" t="s">
        <v>2236</v>
      </c>
      <c r="C201" s="3" t="s">
        <v>208</v>
      </c>
      <c r="D201" s="3" t="str">
        <f>T("李大釗")</f>
        <v>李大釗</v>
      </c>
      <c r="E201" s="3" t="str">
        <f>T("北京")</f>
        <v>北京</v>
      </c>
      <c r="F201" s="3">
        <v>19</v>
      </c>
      <c r="G201" s="3">
        <v>114</v>
      </c>
    </row>
    <row r="202" spans="1:7" ht="14.25">
      <c r="A202" s="3" t="str">
        <f>T("20102465")</f>
        <v>20102465</v>
      </c>
      <c r="B202" s="14" t="s">
        <v>2845</v>
      </c>
      <c r="C202" s="3" t="s">
        <v>209</v>
      </c>
      <c r="D202" s="3" t="str">
        <f>T("溥儀")</f>
        <v>溥儀</v>
      </c>
      <c r="E202" s="3" t="str">
        <f>T("天津人民")</f>
        <v>天津人民</v>
      </c>
      <c r="F202" s="3">
        <v>99</v>
      </c>
      <c r="G202" s="3">
        <v>594</v>
      </c>
    </row>
    <row r="203" spans="1:7" ht="14.25">
      <c r="A203" s="3" t="str">
        <f>T("20104675")</f>
        <v>20104675</v>
      </c>
      <c r="B203" s="14" t="s">
        <v>2849</v>
      </c>
      <c r="C203" s="3" t="s">
        <v>210</v>
      </c>
      <c r="D203" s="3" t="str">
        <f>T("李立新")</f>
        <v>李立新</v>
      </c>
      <c r="E203" s="3" t="str">
        <f>T("天津人民")</f>
        <v>天津人民</v>
      </c>
      <c r="F203" s="3">
        <v>36</v>
      </c>
      <c r="G203" s="3">
        <v>216</v>
      </c>
    </row>
    <row r="204" spans="1:7" ht="14.25">
      <c r="A204" s="3" t="str">
        <f>T("20105782")</f>
        <v>20105782</v>
      </c>
      <c r="B204" s="14" t="s">
        <v>2856</v>
      </c>
      <c r="C204" s="3" t="s">
        <v>211</v>
      </c>
      <c r="D204" s="3" t="str">
        <f>T("張金明")</f>
        <v>張金明</v>
      </c>
      <c r="E204" s="3" t="str">
        <f>T("天津人民")</f>
        <v>天津人民</v>
      </c>
      <c r="F204" s="3">
        <v>35</v>
      </c>
      <c r="G204" s="3">
        <v>210</v>
      </c>
    </row>
    <row r="205" spans="1:7" ht="14.25">
      <c r="A205" s="3" t="str">
        <f>T("20105827")</f>
        <v>20105827</v>
      </c>
      <c r="B205" s="14" t="s">
        <v>2859</v>
      </c>
      <c r="C205" s="3" t="s">
        <v>212</v>
      </c>
      <c r="D205" s="3" t="str">
        <f>T("魯迅")</f>
        <v>魯迅</v>
      </c>
      <c r="E205" s="3" t="str">
        <f>T("天津人民")</f>
        <v>天津人民</v>
      </c>
      <c r="F205" s="3">
        <v>35</v>
      </c>
      <c r="G205" s="3">
        <v>210</v>
      </c>
    </row>
    <row r="206" spans="1:7" ht="14.25">
      <c r="A206" s="3" t="str">
        <f>T("20105909")</f>
        <v>20105909</v>
      </c>
      <c r="B206" s="14" t="s">
        <v>2862</v>
      </c>
      <c r="C206" s="3" t="s">
        <v>213</v>
      </c>
      <c r="D206" s="3" t="str">
        <f>T("朵漁")</f>
        <v>朵漁</v>
      </c>
      <c r="E206" s="3" t="str">
        <f>T("天津人民")</f>
        <v>天津人民</v>
      </c>
      <c r="F206" s="3">
        <v>29</v>
      </c>
      <c r="G206" s="3">
        <v>174</v>
      </c>
    </row>
    <row r="207" spans="1:7" ht="14.25">
      <c r="A207" s="3" t="str">
        <f>T("20105914")</f>
        <v>20105914</v>
      </c>
      <c r="B207" s="14" t="s">
        <v>2865</v>
      </c>
      <c r="C207" s="3" t="s">
        <v>214</v>
      </c>
      <c r="D207" s="3" t="str">
        <f>T("鈞雪人")</f>
        <v>鈞雪人</v>
      </c>
      <c r="E207" s="3" t="str">
        <f>T("天津人民")</f>
        <v>天津人民</v>
      </c>
      <c r="F207" s="3">
        <v>27.8</v>
      </c>
      <c r="G207" s="3">
        <v>167</v>
      </c>
    </row>
    <row r="208" spans="1:7" ht="14.25">
      <c r="A208" s="3" t="str">
        <f>T("20106199")</f>
        <v>20106199</v>
      </c>
      <c r="B208" s="14" t="s">
        <v>2868</v>
      </c>
      <c r="C208" s="3" t="s">
        <v>215</v>
      </c>
      <c r="D208" s="3" t="str">
        <f>T("吳敬華")</f>
        <v>吳敬華</v>
      </c>
      <c r="E208" s="3" t="str">
        <f>T("天津人民")</f>
        <v>天津人民</v>
      </c>
      <c r="F208" s="3">
        <v>39.8</v>
      </c>
      <c r="G208" s="3">
        <v>239</v>
      </c>
    </row>
    <row r="209" spans="1:7" ht="14.25">
      <c r="A209" s="3" t="str">
        <f>T("20106264")</f>
        <v>20106264</v>
      </c>
      <c r="B209" s="14" t="s">
        <v>2871</v>
      </c>
      <c r="C209" s="3" t="s">
        <v>216</v>
      </c>
      <c r="D209" s="3" t="str">
        <f>T("聶小晴")</f>
        <v>聶小晴</v>
      </c>
      <c r="E209" s="3" t="str">
        <f>T("天津人民")</f>
        <v>天津人民</v>
      </c>
      <c r="F209" s="3">
        <v>29</v>
      </c>
      <c r="G209" s="3">
        <v>174</v>
      </c>
    </row>
    <row r="210" spans="1:7" ht="14.25">
      <c r="A210" s="3" t="str">
        <f>T("20106342")</f>
        <v>20106342</v>
      </c>
      <c r="B210" s="14" t="s">
        <v>2874</v>
      </c>
      <c r="C210" s="3" t="s">
        <v>217</v>
      </c>
      <c r="D210" s="3" t="str">
        <f>T("許地山")</f>
        <v>許地山</v>
      </c>
      <c r="E210" s="3" t="str">
        <f>T("天津人民")</f>
        <v>天津人民</v>
      </c>
      <c r="F210" s="3">
        <v>26</v>
      </c>
      <c r="G210" s="3">
        <v>156</v>
      </c>
    </row>
    <row r="211" spans="1:7" ht="14.25">
      <c r="A211" s="3" t="str">
        <f>T("20106362")</f>
        <v>20106362</v>
      </c>
      <c r="B211" s="14" t="s">
        <v>2877</v>
      </c>
      <c r="C211" s="3" t="s">
        <v>218</v>
      </c>
      <c r="D211" s="3" t="str">
        <f>T("由國慶")</f>
        <v>由國慶</v>
      </c>
      <c r="E211" s="3" t="str">
        <f>T("天津人民")</f>
        <v>天津人民</v>
      </c>
      <c r="F211" s="3">
        <v>28</v>
      </c>
      <c r="G211" s="3">
        <v>168</v>
      </c>
    </row>
    <row r="212" spans="1:7" ht="14.25">
      <c r="A212" s="3" t="str">
        <f>T("20305265A")</f>
        <v>20305265A</v>
      </c>
      <c r="B212" s="14" t="s">
        <v>2236</v>
      </c>
      <c r="C212" s="3" t="s">
        <v>219</v>
      </c>
      <c r="D212" s="3">
        <f>T("")</f>
      </c>
      <c r="E212" s="3" t="str">
        <f>T("山西人民")</f>
        <v>山西人民</v>
      </c>
      <c r="F212" s="3">
        <v>8</v>
      </c>
      <c r="G212" s="3">
        <v>48</v>
      </c>
    </row>
    <row r="213" spans="1:7" ht="14.25">
      <c r="A213" s="3" t="str">
        <f>T("20305266A")</f>
        <v>20305266A</v>
      </c>
      <c r="B213" s="14" t="s">
        <v>2236</v>
      </c>
      <c r="C213" s="3" t="s">
        <v>220</v>
      </c>
      <c r="D213" s="3">
        <f>T("")</f>
      </c>
      <c r="E213" s="3" t="str">
        <f>T("山西人民")</f>
        <v>山西人民</v>
      </c>
      <c r="F213" s="3">
        <v>0</v>
      </c>
      <c r="G213" s="3">
        <v>48</v>
      </c>
    </row>
    <row r="214" spans="1:7" ht="14.25">
      <c r="A214" s="3" t="str">
        <f>T("20305266C")</f>
        <v>20305266C</v>
      </c>
      <c r="B214" s="14" t="s">
        <v>2236</v>
      </c>
      <c r="C214" s="3" t="s">
        <v>221</v>
      </c>
      <c r="D214" s="3">
        <f>T("")</f>
      </c>
      <c r="E214" s="3" t="str">
        <f>T("山西人民")</f>
        <v>山西人民</v>
      </c>
      <c r="F214" s="3">
        <v>8</v>
      </c>
      <c r="G214" s="3">
        <v>48</v>
      </c>
    </row>
    <row r="215" spans="1:7" ht="14.25">
      <c r="A215" s="3" t="str">
        <f>T("20306354")</f>
        <v>20306354</v>
      </c>
      <c r="B215" s="14" t="s">
        <v>2884</v>
      </c>
      <c r="C215" s="3" t="s">
        <v>222</v>
      </c>
      <c r="D215" s="3" t="str">
        <f>T("（清）褚人獲著")</f>
        <v>（清）褚人獲著</v>
      </c>
      <c r="E215" s="3" t="str">
        <f>T("山西人民")</f>
        <v>山西人民</v>
      </c>
      <c r="F215" s="3">
        <v>48</v>
      </c>
      <c r="G215" s="3">
        <v>288</v>
      </c>
    </row>
    <row r="216" spans="1:7" ht="14.25">
      <c r="A216" s="3" t="str">
        <f>T("20306604")</f>
        <v>20306604</v>
      </c>
      <c r="B216" s="14" t="s">
        <v>2887</v>
      </c>
      <c r="C216" s="3" t="s">
        <v>223</v>
      </c>
      <c r="D216" s="3" t="str">
        <f>T("劉剛")</f>
        <v>劉剛</v>
      </c>
      <c r="E216" s="3" t="str">
        <f>T("山西人民")</f>
        <v>山西人民</v>
      </c>
      <c r="F216" s="3">
        <v>58</v>
      </c>
      <c r="G216" s="3">
        <v>348</v>
      </c>
    </row>
    <row r="217" spans="1:7" ht="14.25">
      <c r="A217" s="3" t="str">
        <f>T("20409824")</f>
        <v>20409824</v>
      </c>
      <c r="B217" s="14" t="s">
        <v>2890</v>
      </c>
      <c r="C217" s="3" t="s">
        <v>224</v>
      </c>
      <c r="D217" s="3" t="str">
        <f>T("柴世梅，安心著")</f>
        <v>柴世梅，安心著</v>
      </c>
      <c r="E217" s="3" t="str">
        <f>T("內蒙人民")</f>
        <v>內蒙人民</v>
      </c>
      <c r="F217" s="3">
        <v>29</v>
      </c>
      <c r="G217" s="3">
        <v>174</v>
      </c>
    </row>
    <row r="218" spans="1:7" ht="14.25">
      <c r="A218" s="3" t="str">
        <f>T("20506142")</f>
        <v>20506142</v>
      </c>
      <c r="B218" s="14" t="s">
        <v>2894</v>
      </c>
      <c r="C218" s="3" t="s">
        <v>225</v>
      </c>
      <c r="D218" s="3" t="str">
        <f>T("鳳凰衛視編著")</f>
        <v>鳳凰衛視編著</v>
      </c>
      <c r="E218" s="3" t="str">
        <f>T("遼寧人民")</f>
        <v>遼寧人民</v>
      </c>
      <c r="F218" s="3">
        <v>39</v>
      </c>
      <c r="G218" s="3">
        <v>234</v>
      </c>
    </row>
    <row r="219" spans="1:7" ht="14.25">
      <c r="A219" s="3" t="str">
        <f>T("20506695")</f>
        <v>20506695</v>
      </c>
      <c r="B219" s="14" t="s">
        <v>2898</v>
      </c>
      <c r="C219" s="3" t="s">
        <v>226</v>
      </c>
      <c r="D219" s="3" t="str">
        <f>T("本社")</f>
        <v>本社</v>
      </c>
      <c r="E219" s="3" t="str">
        <f>T("遼寧人民")</f>
        <v>遼寧人民</v>
      </c>
      <c r="F219" s="3">
        <v>10</v>
      </c>
      <c r="G219" s="3">
        <v>60</v>
      </c>
    </row>
    <row r="220" spans="1:7" ht="14.25">
      <c r="A220" s="3" t="str">
        <f>T("20506704")</f>
        <v>20506704</v>
      </c>
      <c r="B220" s="14" t="s">
        <v>2901</v>
      </c>
      <c r="C220" s="3" t="s">
        <v>227</v>
      </c>
      <c r="D220" s="3" t="str">
        <f>T("郭大順")</f>
        <v>郭大順</v>
      </c>
      <c r="E220" s="3" t="str">
        <f>T("遼寧人民")</f>
        <v>遼寧人民</v>
      </c>
      <c r="F220" s="3">
        <v>18</v>
      </c>
      <c r="G220" s="3">
        <v>108</v>
      </c>
    </row>
    <row r="221" spans="1:7" ht="14.25">
      <c r="A221" s="3" t="str">
        <f>T("20506756")</f>
        <v>20506756</v>
      </c>
      <c r="B221" s="14" t="s">
        <v>2904</v>
      </c>
      <c r="C221" s="3" t="s">
        <v>228</v>
      </c>
      <c r="D221" s="3" t="str">
        <f>T("墨香滿樓. 著")</f>
        <v>墨香滿樓. 著</v>
      </c>
      <c r="E221" s="3" t="str">
        <f>T("遼寧人民")</f>
        <v>遼寧人民</v>
      </c>
      <c r="F221" s="3">
        <v>29.8</v>
      </c>
      <c r="G221" s="3">
        <v>179</v>
      </c>
    </row>
    <row r="222" spans="1:7" ht="14.25">
      <c r="A222" s="3" t="str">
        <f>T("20506772")</f>
        <v>20506772</v>
      </c>
      <c r="B222" s="14" t="s">
        <v>2907</v>
      </c>
      <c r="C222" s="3" t="s">
        <v>229</v>
      </c>
      <c r="D222" s="3" t="str">
        <f>T("王雅文. 汪海燕. 編著")</f>
        <v>王雅文. 汪海燕. 編著</v>
      </c>
      <c r="E222" s="3" t="str">
        <f>T("遼寧人民")</f>
        <v>遼寧人民</v>
      </c>
      <c r="F222" s="3">
        <v>18</v>
      </c>
      <c r="G222" s="3">
        <v>108</v>
      </c>
    </row>
    <row r="223" spans="1:7" ht="14.25">
      <c r="A223" s="3" t="str">
        <f>T("20606814")</f>
        <v>20606814</v>
      </c>
      <c r="B223" s="14" t="s">
        <v>2914</v>
      </c>
      <c r="C223" s="3" t="s">
        <v>230</v>
      </c>
      <c r="D223" s="3" t="str">
        <f>T("王彥輝. 主編")</f>
        <v>王彥輝. 主編</v>
      </c>
      <c r="E223" s="3" t="str">
        <f>T("吉林人民")</f>
        <v>吉林人民</v>
      </c>
      <c r="F223" s="3">
        <v>39.8</v>
      </c>
      <c r="G223" s="3">
        <v>239</v>
      </c>
    </row>
    <row r="224" spans="1:7" ht="14.25">
      <c r="A224" s="3" t="str">
        <f>T("20706490")</f>
        <v>20706490</v>
      </c>
      <c r="B224" s="14" t="s">
        <v>2918</v>
      </c>
      <c r="C224" s="3" t="s">
        <v>231</v>
      </c>
      <c r="D224" s="3" t="str">
        <f>T("馮驥才、白庚勝等編著")</f>
        <v>馮驥才、白庚勝等編著</v>
      </c>
      <c r="E224" s="3" t="str">
        <f>T("黑人民")</f>
        <v>黑人民</v>
      </c>
      <c r="F224" s="3">
        <v>80</v>
      </c>
      <c r="G224" s="3">
        <v>480</v>
      </c>
    </row>
    <row r="225" spans="1:7" ht="14.25">
      <c r="A225" s="3" t="str">
        <f>T("20706574")</f>
        <v>20706574</v>
      </c>
      <c r="B225" s="14" t="s">
        <v>2922</v>
      </c>
      <c r="C225" s="3" t="s">
        <v>232</v>
      </c>
      <c r="D225" s="3" t="str">
        <f>T("馮驥才等編著")</f>
        <v>馮驥才等編著</v>
      </c>
      <c r="E225" s="3" t="str">
        <f>T("黑人民")</f>
        <v>黑人民</v>
      </c>
      <c r="F225" s="3">
        <v>80</v>
      </c>
      <c r="G225" s="3">
        <v>480</v>
      </c>
    </row>
    <row r="226" spans="1:7" ht="14.25">
      <c r="A226" s="3" t="str">
        <f>T("20806150")</f>
        <v>20806150</v>
      </c>
      <c r="B226" s="14" t="s">
        <v>2925</v>
      </c>
      <c r="C226" s="3" t="s">
        <v>233</v>
      </c>
      <c r="D226" s="3" t="str">
        <f>T("鄭振鐸著")</f>
        <v>鄭振鐸著</v>
      </c>
      <c r="E226" s="3" t="str">
        <f>T("上海人民")</f>
        <v>上海人民</v>
      </c>
      <c r="F226" s="3">
        <v>60</v>
      </c>
      <c r="G226" s="3">
        <v>360</v>
      </c>
    </row>
    <row r="227" spans="1:7" ht="14.25">
      <c r="A227" s="3" t="str">
        <f>T("20806711")</f>
        <v>20806711</v>
      </c>
      <c r="B227" s="14" t="s">
        <v>2929</v>
      </c>
      <c r="C227" s="3" t="s">
        <v>234</v>
      </c>
      <c r="D227" s="3" t="str">
        <f>T("胡思華")</f>
        <v>胡思華</v>
      </c>
      <c r="E227" s="3" t="str">
        <f>T("上海人民")</f>
        <v>上海人民</v>
      </c>
      <c r="F227" s="3">
        <v>32</v>
      </c>
      <c r="G227" s="3">
        <v>192</v>
      </c>
    </row>
    <row r="228" spans="1:7" ht="14.25">
      <c r="A228" s="3" t="str">
        <f>T("20806715")</f>
        <v>20806715</v>
      </c>
      <c r="B228" s="14" t="s">
        <v>2932</v>
      </c>
      <c r="C228" s="3" t="s">
        <v>235</v>
      </c>
      <c r="D228" s="3" t="str">
        <f>T("葉辛")</f>
        <v>葉辛</v>
      </c>
      <c r="E228" s="3" t="str">
        <f>T("上海人民")</f>
        <v>上海人民</v>
      </c>
      <c r="F228" s="3">
        <v>25</v>
      </c>
      <c r="G228" s="3">
        <v>150</v>
      </c>
    </row>
    <row r="229" spans="1:7" ht="14.25">
      <c r="A229" s="3" t="str">
        <f>T("20807380")</f>
        <v>20807380</v>
      </c>
      <c r="B229" s="14" t="s">
        <v>2935</v>
      </c>
      <c r="C229" s="3" t="s">
        <v>236</v>
      </c>
      <c r="D229" s="3" t="str">
        <f>T("邱丕相")</f>
        <v>邱丕相</v>
      </c>
      <c r="E229" s="3" t="str">
        <f>T("上海人民")</f>
        <v>上海人民</v>
      </c>
      <c r="F229" s="3">
        <v>35</v>
      </c>
      <c r="G229" s="3">
        <v>210</v>
      </c>
    </row>
    <row r="230" spans="1:7" ht="14.25">
      <c r="A230" s="3" t="str">
        <f>T("20808165")</f>
        <v>20808165</v>
      </c>
      <c r="B230" s="14" t="s">
        <v>2938</v>
      </c>
      <c r="C230" s="3" t="s">
        <v>237</v>
      </c>
      <c r="D230" s="3" t="str">
        <f>T("黎東方")</f>
        <v>黎東方</v>
      </c>
      <c r="E230" s="3" t="str">
        <f>T("世紀文景")</f>
        <v>世紀文景</v>
      </c>
      <c r="F230" s="3">
        <v>28</v>
      </c>
      <c r="G230" s="3">
        <v>168</v>
      </c>
    </row>
    <row r="231" spans="1:7" ht="14.25">
      <c r="A231" s="3" t="str">
        <f>T("20808170")</f>
        <v>20808170</v>
      </c>
      <c r="B231" s="14" t="s">
        <v>2942</v>
      </c>
      <c r="C231" s="3" t="s">
        <v>238</v>
      </c>
      <c r="D231" s="3" t="str">
        <f>T("來新夏")</f>
        <v>來新夏</v>
      </c>
      <c r="E231" s="3" t="str">
        <f>T("世紀文景")</f>
        <v>世紀文景</v>
      </c>
      <c r="F231" s="3">
        <v>42</v>
      </c>
      <c r="G231" s="3">
        <v>252</v>
      </c>
    </row>
    <row r="232" spans="1:7" ht="14.25">
      <c r="A232" s="3" t="str">
        <f>T("20808185")</f>
        <v>20808185</v>
      </c>
      <c r="B232" s="14" t="s">
        <v>2945</v>
      </c>
      <c r="C232" s="3" t="s">
        <v>239</v>
      </c>
      <c r="D232" s="3" t="str">
        <f>T("鄧軍")</f>
        <v>鄧軍</v>
      </c>
      <c r="E232" s="3" t="str">
        <f>T("世紀文景")</f>
        <v>世紀文景</v>
      </c>
      <c r="F232" s="3">
        <v>27</v>
      </c>
      <c r="G232" s="3">
        <v>162</v>
      </c>
    </row>
    <row r="233" spans="1:7" ht="14.25">
      <c r="A233" s="3" t="str">
        <f>T("20808270")</f>
        <v>20808270</v>
      </c>
      <c r="B233" s="14" t="s">
        <v>2948</v>
      </c>
      <c r="C233" s="3" t="s">
        <v>240</v>
      </c>
      <c r="D233" s="3" t="str">
        <f>T("李康化")</f>
        <v>李康化</v>
      </c>
      <c r="E233" s="3" t="str">
        <f>T("世紀文景")</f>
        <v>世紀文景</v>
      </c>
      <c r="F233" s="3">
        <v>34</v>
      </c>
      <c r="G233" s="3">
        <v>204</v>
      </c>
    </row>
    <row r="234" spans="1:7" ht="14.25">
      <c r="A234" s="3" t="str">
        <f>T("20808310")</f>
        <v>20808310</v>
      </c>
      <c r="B234" s="14" t="s">
        <v>2951</v>
      </c>
      <c r="C234" s="3" t="s">
        <v>241</v>
      </c>
      <c r="D234" s="3" t="str">
        <f>T("張歷歷")</f>
        <v>張歷歷</v>
      </c>
      <c r="E234" s="3" t="str">
        <f>T("世紀文景")</f>
        <v>世紀文景</v>
      </c>
      <c r="F234" s="3">
        <v>38</v>
      </c>
      <c r="G234" s="3">
        <v>228</v>
      </c>
    </row>
    <row r="235" spans="1:7" ht="14.25">
      <c r="A235" s="3" t="str">
        <f>T("20808595")</f>
        <v>20808595</v>
      </c>
      <c r="B235" s="14" t="s">
        <v>2954</v>
      </c>
      <c r="C235" s="3" t="s">
        <v>242</v>
      </c>
      <c r="D235" s="3" t="str">
        <f>T("波普爾")</f>
        <v>波普爾</v>
      </c>
      <c r="E235" s="3" t="str">
        <f>T("上海人民")</f>
        <v>上海人民</v>
      </c>
      <c r="F235" s="3">
        <v>20</v>
      </c>
      <c r="G235" s="3">
        <v>120</v>
      </c>
    </row>
    <row r="236" spans="1:7" ht="14.25">
      <c r="A236" s="3" t="str">
        <f>T("20808648")</f>
        <v>20808648</v>
      </c>
      <c r="B236" s="14" t="s">
        <v>2957</v>
      </c>
      <c r="C236" s="3" t="s">
        <v>243</v>
      </c>
      <c r="D236" s="3" t="str">
        <f>T("張其凡著")</f>
        <v>張其凡著</v>
      </c>
      <c r="E236" s="3" t="str">
        <f>T("上海人民")</f>
        <v>上海人民</v>
      </c>
      <c r="F236" s="3">
        <v>56</v>
      </c>
      <c r="G236" s="3">
        <v>336</v>
      </c>
    </row>
    <row r="237" spans="1:7" ht="14.25">
      <c r="A237" s="3" t="str">
        <f>T("20809196")</f>
        <v>20809196</v>
      </c>
      <c r="B237" s="14" t="s">
        <v>2960</v>
      </c>
      <c r="C237" s="3" t="s">
        <v>244</v>
      </c>
      <c r="D237" s="3" t="str">
        <f>T("仲富蘭. 等著")</f>
        <v>仲富蘭. 等著</v>
      </c>
      <c r="E237" s="3" t="str">
        <f>T("上海人民")</f>
        <v>上海人民</v>
      </c>
      <c r="F237" s="3">
        <v>44</v>
      </c>
      <c r="G237" s="3">
        <v>264</v>
      </c>
    </row>
    <row r="238" spans="1:7" ht="14.25">
      <c r="A238" s="3" t="str">
        <f>T("20809408")</f>
        <v>20809408</v>
      </c>
      <c r="B238" s="14" t="s">
        <v>2963</v>
      </c>
      <c r="C238" s="3" t="s">
        <v>245</v>
      </c>
      <c r="D238" s="3" t="str">
        <f>T("吳琛瑜. 著")</f>
        <v>吳琛瑜. 著</v>
      </c>
      <c r="E238" s="3" t="str">
        <f>T("上海人民")</f>
        <v>上海人民</v>
      </c>
      <c r="F238" s="3">
        <v>32</v>
      </c>
      <c r="G238" s="3">
        <v>192</v>
      </c>
    </row>
    <row r="239" spans="1:7" ht="14.25">
      <c r="A239" s="3" t="str">
        <f>T("20902148")</f>
        <v>20902148</v>
      </c>
      <c r="B239" s="14" t="s">
        <v>2966</v>
      </c>
      <c r="C239" s="3" t="s">
        <v>246</v>
      </c>
      <c r="D239" s="3" t="str">
        <f>T("吳曉奎")</f>
        <v>吳曉奎</v>
      </c>
      <c r="E239" s="3" t="str">
        <f>T("山東人民")</f>
        <v>山東人民</v>
      </c>
      <c r="F239" s="3">
        <v>22</v>
      </c>
      <c r="G239" s="3">
        <v>132</v>
      </c>
    </row>
    <row r="240" spans="1:7" ht="14.25">
      <c r="A240" s="3" t="str">
        <f>T("20903836")</f>
        <v>20903836</v>
      </c>
      <c r="B240" s="14" t="s">
        <v>2970</v>
      </c>
      <c r="C240" s="3" t="s">
        <v>247</v>
      </c>
      <c r="D240" s="3" t="str">
        <f>T("張鳳蓮")</f>
        <v>張鳳蓮</v>
      </c>
      <c r="E240" s="3" t="str">
        <f>T("山東人民")</f>
        <v>山東人民</v>
      </c>
      <c r="F240" s="3">
        <v>28</v>
      </c>
      <c r="G240" s="3">
        <v>162</v>
      </c>
    </row>
    <row r="241" spans="1:7" ht="14.25">
      <c r="A241" s="3" t="str">
        <f>T("20904078")</f>
        <v>20904078</v>
      </c>
      <c r="B241" s="14" t="s">
        <v>2973</v>
      </c>
      <c r="C241" s="3" t="s">
        <v>248</v>
      </c>
      <c r="D241" s="3" t="str">
        <f>T(".")</f>
        <v>.</v>
      </c>
      <c r="E241" s="3" t="str">
        <f>T("山東人民")</f>
        <v>山東人民</v>
      </c>
      <c r="F241" s="3">
        <v>53</v>
      </c>
      <c r="G241" s="3">
        <v>318</v>
      </c>
    </row>
    <row r="242" spans="1:7" ht="14.25">
      <c r="A242" s="3" t="str">
        <f>T("20904171")</f>
        <v>20904171</v>
      </c>
      <c r="B242" s="14" t="s">
        <v>2975</v>
      </c>
      <c r="C242" s="3" t="s">
        <v>249</v>
      </c>
      <c r="D242" s="3" t="str">
        <f>T("張士寶")</f>
        <v>張士寶</v>
      </c>
      <c r="E242" s="3" t="str">
        <f>T("山東人民")</f>
        <v>山東人民</v>
      </c>
      <c r="F242" s="3">
        <v>14</v>
      </c>
      <c r="G242" s="3">
        <v>84</v>
      </c>
    </row>
    <row r="243" spans="1:7" ht="14.25">
      <c r="A243" s="3" t="str">
        <f>T("20904191")</f>
        <v>20904191</v>
      </c>
      <c r="B243" s="14" t="s">
        <v>2978</v>
      </c>
      <c r="C243" s="3" t="s">
        <v>250</v>
      </c>
      <c r="D243" s="3" t="str">
        <f>T("張立升")</f>
        <v>張立升</v>
      </c>
      <c r="E243" s="3" t="str">
        <f>T("山東人民")</f>
        <v>山東人民</v>
      </c>
      <c r="F243" s="3">
        <v>14</v>
      </c>
      <c r="G243" s="3">
        <v>84</v>
      </c>
    </row>
    <row r="244" spans="1:7" ht="14.25">
      <c r="A244" s="3" t="str">
        <f>T("20904220")</f>
        <v>20904220</v>
      </c>
      <c r="B244" s="14" t="s">
        <v>2981</v>
      </c>
      <c r="C244" s="3" t="s">
        <v>251</v>
      </c>
      <c r="D244" s="3" t="str">
        <f>T("張士寶")</f>
        <v>張士寶</v>
      </c>
      <c r="E244" s="3" t="str">
        <f>T("山東人民")</f>
        <v>山東人民</v>
      </c>
      <c r="F244" s="3">
        <v>14</v>
      </c>
      <c r="G244" s="3">
        <v>84</v>
      </c>
    </row>
    <row r="245" spans="1:7" ht="14.25">
      <c r="A245" s="3" t="str">
        <f>T("20904230")</f>
        <v>20904230</v>
      </c>
      <c r="B245" s="14" t="s">
        <v>2983</v>
      </c>
      <c r="C245" s="3" t="s">
        <v>252</v>
      </c>
      <c r="D245" s="3" t="str">
        <f>T("張立升")</f>
        <v>張立升</v>
      </c>
      <c r="E245" s="3" t="str">
        <f>T("山東人民")</f>
        <v>山東人民</v>
      </c>
      <c r="F245" s="3">
        <v>14</v>
      </c>
      <c r="G245" s="3">
        <v>84</v>
      </c>
    </row>
    <row r="246" spans="1:7" ht="14.25">
      <c r="A246" s="3" t="str">
        <f>T("20904256")</f>
        <v>20904256</v>
      </c>
      <c r="B246" s="14" t="s">
        <v>2985</v>
      </c>
      <c r="C246" s="3" t="s">
        <v>253</v>
      </c>
      <c r="D246" s="3" t="str">
        <f>T("張士寶")</f>
        <v>張士寶</v>
      </c>
      <c r="E246" s="3" t="str">
        <f>T("山東人民")</f>
        <v>山東人民</v>
      </c>
      <c r="F246" s="3">
        <v>14</v>
      </c>
      <c r="G246" s="3">
        <v>84</v>
      </c>
    </row>
    <row r="247" spans="1:7" ht="14.25">
      <c r="A247" s="3" t="str">
        <f>T("20904467")</f>
        <v>20904467</v>
      </c>
      <c r="B247" s="14" t="s">
        <v>2987</v>
      </c>
      <c r="C247" s="3" t="s">
        <v>254</v>
      </c>
      <c r="D247" s="3" t="str">
        <f>T("耿波")</f>
        <v>耿波</v>
      </c>
      <c r="E247" s="3" t="str">
        <f>T("山東人民")</f>
        <v>山東人民</v>
      </c>
      <c r="F247" s="3">
        <v>32</v>
      </c>
      <c r="G247" s="3">
        <v>192</v>
      </c>
    </row>
    <row r="248" spans="1:7" ht="14.25">
      <c r="A248" s="3" t="str">
        <f>T("20904642")</f>
        <v>20904642</v>
      </c>
      <c r="B248" s="14" t="s">
        <v>2990</v>
      </c>
      <c r="C248" s="3" t="s">
        <v>255</v>
      </c>
      <c r="D248" s="3" t="str">
        <f>T("斯雄")</f>
        <v>斯雄</v>
      </c>
      <c r="E248" s="3" t="str">
        <f>T("山東人民")</f>
        <v>山東人民</v>
      </c>
      <c r="F248" s="3">
        <v>35</v>
      </c>
      <c r="G248" s="3">
        <v>210</v>
      </c>
    </row>
    <row r="249" spans="1:7" ht="14.25">
      <c r="A249" s="3" t="str">
        <f>T("20904747")</f>
        <v>20904747</v>
      </c>
      <c r="B249" s="14" t="s">
        <v>2993</v>
      </c>
      <c r="C249" s="3" t="s">
        <v>256</v>
      </c>
      <c r="D249" s="3" t="str">
        <f>T("宋大琦")</f>
        <v>宋大琦</v>
      </c>
      <c r="E249" s="3" t="str">
        <f>T("山東人民")</f>
        <v>山東人民</v>
      </c>
      <c r="F249" s="3">
        <v>29</v>
      </c>
      <c r="G249" s="3">
        <v>174</v>
      </c>
    </row>
    <row r="250" spans="1:7" ht="14.25">
      <c r="A250" s="3" t="str">
        <f>T("20904937")</f>
        <v>20904937</v>
      </c>
      <c r="B250" s="14" t="s">
        <v>2996</v>
      </c>
      <c r="C250" s="3" t="s">
        <v>257</v>
      </c>
      <c r="D250" s="3" t="str">
        <f>T("姚淦銘")</f>
        <v>姚淦銘</v>
      </c>
      <c r="E250" s="3" t="str">
        <f>T("山東人民")</f>
        <v>山東人民</v>
      </c>
      <c r="F250" s="3">
        <v>29</v>
      </c>
      <c r="G250" s="3">
        <v>174</v>
      </c>
    </row>
    <row r="251" spans="1:7" ht="14.25">
      <c r="A251" s="3" t="str">
        <f>T("20905078")</f>
        <v>20905078</v>
      </c>
      <c r="B251" s="14" t="s">
        <v>2999</v>
      </c>
      <c r="C251" s="3" t="s">
        <v>258</v>
      </c>
      <c r="D251" s="3" t="str">
        <f>T("金明善")</f>
        <v>金明善</v>
      </c>
      <c r="E251" s="3" t="str">
        <f>T("山東人民")</f>
        <v>山東人民</v>
      </c>
      <c r="F251" s="3">
        <v>56</v>
      </c>
      <c r="G251" s="3">
        <v>336</v>
      </c>
    </row>
    <row r="252" spans="1:7" ht="14.25">
      <c r="A252" s="3" t="str">
        <f>T("20905080")</f>
        <v>20905080</v>
      </c>
      <c r="B252" s="14" t="s">
        <v>3002</v>
      </c>
      <c r="C252" s="3" t="s">
        <v>259</v>
      </c>
      <c r="D252" s="3" t="str">
        <f>T("金明善")</f>
        <v>金明善</v>
      </c>
      <c r="E252" s="3" t="str">
        <f>T("山東人民")</f>
        <v>山東人民</v>
      </c>
      <c r="F252" s="3">
        <v>56</v>
      </c>
      <c r="G252" s="3">
        <v>336</v>
      </c>
    </row>
    <row r="253" spans="1:7" ht="14.25">
      <c r="A253" s="3" t="str">
        <f>T("20905107")</f>
        <v>20905107</v>
      </c>
      <c r="B253" s="14" t="s">
        <v>3004</v>
      </c>
      <c r="C253" s="3" t="s">
        <v>260</v>
      </c>
      <c r="D253" s="3" t="str">
        <f>T("張士寶")</f>
        <v>張士寶</v>
      </c>
      <c r="E253" s="3" t="str">
        <f>T("山東人民")</f>
        <v>山東人民</v>
      </c>
      <c r="F253" s="3">
        <v>56</v>
      </c>
      <c r="G253" s="3">
        <v>336</v>
      </c>
    </row>
    <row r="254" spans="1:7" ht="14.25">
      <c r="A254" s="3" t="str">
        <f>T("21104983")</f>
        <v>21104983</v>
      </c>
      <c r="B254" s="14" t="s">
        <v>3006</v>
      </c>
      <c r="C254" s="3" t="s">
        <v>261</v>
      </c>
      <c r="D254" s="3" t="str">
        <f>T("張濤")</f>
        <v>張濤</v>
      </c>
      <c r="E254" s="3" t="str">
        <f>T("福建人民")</f>
        <v>福建人民</v>
      </c>
      <c r="F254" s="3">
        <v>14.7</v>
      </c>
      <c r="G254" s="3">
        <v>88</v>
      </c>
    </row>
    <row r="255" spans="1:7" ht="14.25">
      <c r="A255" s="3" t="str">
        <f>T("21203239")</f>
        <v>21203239</v>
      </c>
      <c r="B255" s="14" t="s">
        <v>3010</v>
      </c>
      <c r="C255" s="3" t="s">
        <v>262</v>
      </c>
      <c r="D255" s="3" t="str">
        <f>T("朱建軍")</f>
        <v>朱建軍</v>
      </c>
      <c r="E255" s="3" t="str">
        <f>T("安徽人民")</f>
        <v>安徽人民</v>
      </c>
      <c r="F255" s="3">
        <v>18</v>
      </c>
      <c r="G255" s="3">
        <v>108</v>
      </c>
    </row>
    <row r="256" spans="1:7" ht="14.25">
      <c r="A256" s="3" t="str">
        <f>T("21203605")</f>
        <v>21203605</v>
      </c>
      <c r="B256" s="14" t="s">
        <v>3014</v>
      </c>
      <c r="C256" s="3" t="s">
        <v>263</v>
      </c>
      <c r="D256" s="3" t="str">
        <f>T("唐玉霞")</f>
        <v>唐玉霞</v>
      </c>
      <c r="E256" s="3" t="str">
        <f>T("安徽人民")</f>
        <v>安徽人民</v>
      </c>
      <c r="F256" s="3">
        <v>22</v>
      </c>
      <c r="G256" s="3">
        <v>132</v>
      </c>
    </row>
    <row r="257" spans="1:7" ht="14.25">
      <c r="A257" s="3" t="str">
        <f>T("21302466")</f>
        <v>21302466</v>
      </c>
      <c r="B257" s="14" t="s">
        <v>3017</v>
      </c>
      <c r="C257" s="3" t="s">
        <v>264</v>
      </c>
      <c r="D257" s="3">
        <f>T("")</f>
      </c>
      <c r="E257" s="3" t="str">
        <f>T("浙江人民")</f>
        <v>浙江人民</v>
      </c>
      <c r="F257" s="3">
        <v>20</v>
      </c>
      <c r="G257" s="3">
        <v>120</v>
      </c>
    </row>
    <row r="258" spans="1:7" ht="14.25">
      <c r="A258" s="3" t="str">
        <f>T("21302555")</f>
        <v>21302555</v>
      </c>
      <c r="B258" s="14" t="s">
        <v>3020</v>
      </c>
      <c r="C258" s="3" t="s">
        <v>265</v>
      </c>
      <c r="D258" s="3">
        <f>T("")</f>
      </c>
      <c r="E258" s="3" t="str">
        <f>T("浙江人民")</f>
        <v>浙江人民</v>
      </c>
      <c r="F258" s="3">
        <v>25</v>
      </c>
      <c r="G258" s="3">
        <v>150</v>
      </c>
    </row>
    <row r="259" spans="1:7" ht="14.25">
      <c r="A259" s="3" t="str">
        <f>T("21302809")</f>
        <v>21302809</v>
      </c>
      <c r="B259" s="14" t="s">
        <v>3022</v>
      </c>
      <c r="C259" s="3" t="s">
        <v>266</v>
      </c>
      <c r="D259" s="3">
        <f>T("")</f>
      </c>
      <c r="E259" s="3" t="str">
        <f>T("浙江人民")</f>
        <v>浙江人民</v>
      </c>
      <c r="F259" s="3">
        <v>16</v>
      </c>
      <c r="G259" s="3">
        <v>96</v>
      </c>
    </row>
    <row r="260" spans="1:7" ht="14.25">
      <c r="A260" s="3" t="str">
        <f>T("21303016")</f>
        <v>21303016</v>
      </c>
      <c r="B260" s="14" t="s">
        <v>3024</v>
      </c>
      <c r="C260" s="3" t="s">
        <v>267</v>
      </c>
      <c r="D260" s="3">
        <f>T("")</f>
      </c>
      <c r="E260" s="3" t="str">
        <f>T("浙江人民")</f>
        <v>浙江人民</v>
      </c>
      <c r="F260" s="3">
        <v>25</v>
      </c>
      <c r="G260" s="3">
        <v>150</v>
      </c>
    </row>
    <row r="261" spans="1:7" ht="14.25">
      <c r="A261" s="3" t="str">
        <f>T("21303248")</f>
        <v>21303248</v>
      </c>
      <c r="B261" s="14" t="s">
        <v>3026</v>
      </c>
      <c r="C261" s="3" t="s">
        <v>268</v>
      </c>
      <c r="D261" s="3" t="str">
        <f>T("萬斌")</f>
        <v>萬斌</v>
      </c>
      <c r="E261" s="3" t="str">
        <f>T("浙江人民")</f>
        <v>浙江人民</v>
      </c>
      <c r="F261" s="3">
        <v>20</v>
      </c>
      <c r="G261" s="3">
        <v>120</v>
      </c>
    </row>
    <row r="262" spans="1:7" ht="14.25">
      <c r="A262" s="3" t="str">
        <f>T("21303521")</f>
        <v>21303521</v>
      </c>
      <c r="B262" s="14" t="s">
        <v>3029</v>
      </c>
      <c r="C262" s="3" t="s">
        <v>269</v>
      </c>
      <c r="D262" s="3" t="str">
        <f>T("孫侃")</f>
        <v>孫侃</v>
      </c>
      <c r="E262" s="3" t="str">
        <f>T("浙江人民")</f>
        <v>浙江人民</v>
      </c>
      <c r="F262" s="3">
        <v>20</v>
      </c>
      <c r="G262" s="3">
        <v>120</v>
      </c>
    </row>
    <row r="263" spans="1:7" ht="14.25">
      <c r="A263" s="3" t="str">
        <f>T("21303524")</f>
        <v>21303524</v>
      </c>
      <c r="B263" s="14" t="s">
        <v>3032</v>
      </c>
      <c r="C263" s="3" t="s">
        <v>270</v>
      </c>
      <c r="D263" s="3" t="str">
        <f>T("王麗梅")</f>
        <v>王麗梅</v>
      </c>
      <c r="E263" s="3" t="str">
        <f>T("浙江人民")</f>
        <v>浙江人民</v>
      </c>
      <c r="F263" s="3">
        <v>20</v>
      </c>
      <c r="G263" s="3">
        <v>120</v>
      </c>
    </row>
    <row r="264" spans="1:7" ht="14.25">
      <c r="A264" s="3" t="str">
        <f>T("21303829")</f>
        <v>21303829</v>
      </c>
      <c r="B264" s="14" t="s">
        <v>3035</v>
      </c>
      <c r="C264" s="3" t="s">
        <v>271</v>
      </c>
      <c r="D264" s="3" t="str">
        <f>T("黃不敏")</f>
        <v>黃不敏</v>
      </c>
      <c r="E264" s="3" t="str">
        <f>T("浙江人民")</f>
        <v>浙江人民</v>
      </c>
      <c r="F264" s="3">
        <v>16</v>
      </c>
      <c r="G264" s="3">
        <v>96</v>
      </c>
    </row>
    <row r="265" spans="1:7" ht="14.25">
      <c r="A265" s="3" t="str">
        <f>T("21304123")</f>
        <v>21304123</v>
      </c>
      <c r="B265" s="14" t="s">
        <v>3038</v>
      </c>
      <c r="C265" s="3" t="s">
        <v>272</v>
      </c>
      <c r="D265" s="3" t="str">
        <f>T("王華鋒")</f>
        <v>王華鋒</v>
      </c>
      <c r="E265" s="3" t="str">
        <f>T("浙江人民")</f>
        <v>浙江人民</v>
      </c>
      <c r="F265" s="3">
        <v>27</v>
      </c>
      <c r="G265" s="3">
        <v>162</v>
      </c>
    </row>
    <row r="266" spans="1:7" ht="14.25">
      <c r="A266" s="3" t="str">
        <f>T("21304124")</f>
        <v>21304124</v>
      </c>
      <c r="B266" s="14" t="s">
        <v>3041</v>
      </c>
      <c r="C266" s="3" t="s">
        <v>273</v>
      </c>
      <c r="D266" s="3" t="str">
        <f>T("黃樸民")</f>
        <v>黃樸民</v>
      </c>
      <c r="E266" s="3" t="str">
        <f>T("浙江人民")</f>
        <v>浙江人民</v>
      </c>
      <c r="F266" s="3">
        <v>26.5</v>
      </c>
      <c r="G266" s="3">
        <v>159</v>
      </c>
    </row>
    <row r="267" spans="1:7" ht="14.25">
      <c r="A267" s="3" t="str">
        <f>T("21304125")</f>
        <v>21304125</v>
      </c>
      <c r="B267" s="14" t="s">
        <v>3044</v>
      </c>
      <c r="C267" s="3" t="s">
        <v>274</v>
      </c>
      <c r="D267" s="3" t="str">
        <f>T("白效詠")</f>
        <v>白效詠</v>
      </c>
      <c r="E267" s="3" t="str">
        <f>T("浙江人民")</f>
        <v>浙江人民</v>
      </c>
      <c r="F267" s="3">
        <v>26</v>
      </c>
      <c r="G267" s="3">
        <v>156</v>
      </c>
    </row>
    <row r="268" spans="1:7" ht="14.25">
      <c r="A268" s="3" t="str">
        <f>T("21402823")</f>
        <v>21402823</v>
      </c>
      <c r="B268" s="14" t="s">
        <v>3047</v>
      </c>
      <c r="C268" s="3" t="s">
        <v>275</v>
      </c>
      <c r="D268" s="3" t="str">
        <f>T("魏特琳")</f>
        <v>魏特琳</v>
      </c>
      <c r="E268" s="3" t="str">
        <f>T("江蘇人民")</f>
        <v>江蘇人民</v>
      </c>
      <c r="F268" s="3">
        <v>34</v>
      </c>
      <c r="G268" s="3">
        <v>204</v>
      </c>
    </row>
    <row r="269" spans="1:7" ht="14.25">
      <c r="A269" s="3" t="str">
        <f>T("21403024")</f>
        <v>21403024</v>
      </c>
      <c r="B269" s="14" t="s">
        <v>3051</v>
      </c>
      <c r="C269" s="3" t="s">
        <v>276</v>
      </c>
      <c r="D269" s="3" t="str">
        <f>T(".")</f>
        <v>.</v>
      </c>
      <c r="E269" s="3" t="str">
        <f>T("江蘇人民")</f>
        <v>江蘇人民</v>
      </c>
      <c r="F269" s="3">
        <v>16</v>
      </c>
      <c r="G269" s="3">
        <v>96</v>
      </c>
    </row>
    <row r="270" spans="1:7" ht="14.25">
      <c r="A270" s="3" t="str">
        <f>T("21403985")</f>
        <v>21403985</v>
      </c>
      <c r="B270" s="14" t="s">
        <v>3053</v>
      </c>
      <c r="C270" s="3" t="s">
        <v>277</v>
      </c>
      <c r="D270" s="3" t="str">
        <f>T("張生")</f>
        <v>張生</v>
      </c>
      <c r="E270" s="3" t="str">
        <f>T("江蘇人民")</f>
        <v>江蘇人民</v>
      </c>
      <c r="F270" s="3">
        <v>29</v>
      </c>
      <c r="G270" s="3">
        <v>174</v>
      </c>
    </row>
    <row r="271" spans="1:7" ht="14.25">
      <c r="A271" s="3" t="str">
        <f>T("21403986")</f>
        <v>21403986</v>
      </c>
      <c r="B271" s="14" t="s">
        <v>3056</v>
      </c>
      <c r="C271" s="3" t="s">
        <v>278</v>
      </c>
      <c r="D271" s="3" t="str">
        <f>T("王衛星")</f>
        <v>王衛星</v>
      </c>
      <c r="E271" s="3" t="str">
        <f>T("江蘇人民")</f>
        <v>江蘇人民</v>
      </c>
      <c r="F271" s="3">
        <v>40</v>
      </c>
      <c r="G271" s="3">
        <v>240</v>
      </c>
    </row>
    <row r="272" spans="1:7" ht="14.25">
      <c r="A272" s="3" t="str">
        <f>T("21404002")</f>
        <v>21404002</v>
      </c>
      <c r="B272" s="14" t="s">
        <v>3059</v>
      </c>
      <c r="C272" s="3" t="s">
        <v>279</v>
      </c>
      <c r="D272" s="3" t="str">
        <f>T("孫宅巍")</f>
        <v>孫宅巍</v>
      </c>
      <c r="E272" s="3" t="str">
        <f>T("江蘇人民")</f>
        <v>江蘇人民</v>
      </c>
      <c r="F272" s="3">
        <v>25</v>
      </c>
      <c r="G272" s="3">
        <v>150</v>
      </c>
    </row>
    <row r="273" spans="1:7" ht="14.25">
      <c r="A273" s="3" t="str">
        <f>T("21404005")</f>
        <v>21404005</v>
      </c>
      <c r="B273" s="14" t="s">
        <v>3062</v>
      </c>
      <c r="C273" s="3" t="s">
        <v>280</v>
      </c>
      <c r="D273" s="3" t="str">
        <f>T("張連紅")</f>
        <v>張連紅</v>
      </c>
      <c r="E273" s="3" t="str">
        <f>T("江蘇人民")</f>
        <v>江蘇人民</v>
      </c>
      <c r="F273" s="3">
        <v>34</v>
      </c>
      <c r="G273" s="3">
        <v>204</v>
      </c>
    </row>
    <row r="274" spans="1:7" ht="14.25">
      <c r="A274" s="3" t="str">
        <f>T("21404022")</f>
        <v>21404022</v>
      </c>
      <c r="B274" s="14" t="s">
        <v>3065</v>
      </c>
      <c r="C274" s="3" t="s">
        <v>281</v>
      </c>
      <c r="D274" s="3" t="str">
        <f>T("經盛鴻")</f>
        <v>經盛鴻</v>
      </c>
      <c r="E274" s="3" t="str">
        <f>T("江蘇人民")</f>
        <v>江蘇人民</v>
      </c>
      <c r="F274" s="3">
        <v>25</v>
      </c>
      <c r="G274" s="3">
        <v>150</v>
      </c>
    </row>
    <row r="275" spans="1:7" ht="14.25">
      <c r="A275" s="3" t="str">
        <f>T("21404025")</f>
        <v>21404025</v>
      </c>
      <c r="B275" s="14" t="s">
        <v>3068</v>
      </c>
      <c r="C275" s="3" t="s">
        <v>282</v>
      </c>
      <c r="D275" s="3" t="str">
        <f>T("楊夏鳴")</f>
        <v>楊夏鳴</v>
      </c>
      <c r="E275" s="3" t="str">
        <f>T("江蘇人民")</f>
        <v>江蘇人民</v>
      </c>
      <c r="F275" s="3">
        <v>36</v>
      </c>
      <c r="G275" s="3">
        <v>216</v>
      </c>
    </row>
    <row r="276" spans="1:7" ht="14.25">
      <c r="A276" s="3" t="str">
        <f>T("21404026")</f>
        <v>21404026</v>
      </c>
      <c r="B276" s="14" t="s">
        <v>3071</v>
      </c>
      <c r="C276" s="3" t="s">
        <v>283</v>
      </c>
      <c r="D276" s="3" t="str">
        <f>T("章開沅")</f>
        <v>章開沅</v>
      </c>
      <c r="E276" s="3" t="str">
        <f>T("江蘇人民")</f>
        <v>江蘇人民</v>
      </c>
      <c r="F276" s="3">
        <v>24</v>
      </c>
      <c r="G276" s="3">
        <v>144</v>
      </c>
    </row>
    <row r="277" spans="1:7" ht="14.25">
      <c r="A277" s="3" t="str">
        <f>T("21404226")</f>
        <v>21404226</v>
      </c>
      <c r="B277" s="14" t="s">
        <v>3074</v>
      </c>
      <c r="C277" s="3" t="s">
        <v>284</v>
      </c>
      <c r="D277" s="3" t="str">
        <f>T("王衛星")</f>
        <v>王衛星</v>
      </c>
      <c r="E277" s="3" t="str">
        <f>T("江蘇人民")</f>
        <v>江蘇人民</v>
      </c>
      <c r="F277" s="3">
        <v>32</v>
      </c>
      <c r="G277" s="3">
        <v>192</v>
      </c>
    </row>
    <row r="278" spans="1:7" ht="14.25">
      <c r="A278" s="3" t="str">
        <f>T("21404228")</f>
        <v>21404228</v>
      </c>
      <c r="B278" s="14" t="s">
        <v>3076</v>
      </c>
      <c r="C278" s="3" t="s">
        <v>285</v>
      </c>
      <c r="D278" s="3" t="str">
        <f>T("王衛星")</f>
        <v>王衛星</v>
      </c>
      <c r="E278" s="3" t="str">
        <f>T("江蘇人民")</f>
        <v>江蘇人民</v>
      </c>
      <c r="F278" s="3">
        <v>24</v>
      </c>
      <c r="G278" s="3">
        <v>144</v>
      </c>
    </row>
    <row r="279" spans="1:7" ht="14.25">
      <c r="A279" s="3" t="str">
        <f>T("21404229")</f>
        <v>21404229</v>
      </c>
      <c r="B279" s="14" t="s">
        <v>3078</v>
      </c>
      <c r="C279" s="3" t="s">
        <v>286</v>
      </c>
      <c r="D279" s="3" t="str">
        <f>T("張生")</f>
        <v>張生</v>
      </c>
      <c r="E279" s="3" t="str">
        <f>T("江蘇人民")</f>
        <v>江蘇人民</v>
      </c>
      <c r="F279" s="3">
        <v>38</v>
      </c>
      <c r="G279" s="3">
        <v>228</v>
      </c>
    </row>
    <row r="280" spans="1:7" ht="14.25">
      <c r="A280" s="3" t="str">
        <f>T("21404233")</f>
        <v>21404233</v>
      </c>
      <c r="B280" s="14" t="s">
        <v>3080</v>
      </c>
      <c r="C280" s="3" t="s">
        <v>287</v>
      </c>
      <c r="D280" s="3" t="str">
        <f>T("胡菊蓉")</f>
        <v>胡菊蓉</v>
      </c>
      <c r="E280" s="3" t="str">
        <f>T("江蘇人民")</f>
        <v>江蘇人民</v>
      </c>
      <c r="F280" s="3">
        <v>33</v>
      </c>
      <c r="G280" s="3">
        <v>198</v>
      </c>
    </row>
    <row r="281" spans="1:7" ht="14.25">
      <c r="A281" s="3" t="str">
        <f>T("21404240")</f>
        <v>21404240</v>
      </c>
      <c r="B281" s="14" t="s">
        <v>3083</v>
      </c>
      <c r="C281" s="3" t="s">
        <v>288</v>
      </c>
      <c r="D281" s="3" t="str">
        <f>T("薑良芹")</f>
        <v>薑良芹</v>
      </c>
      <c r="E281" s="3" t="str">
        <f>T("江蘇人民")</f>
        <v>江蘇人民</v>
      </c>
      <c r="F281" s="3">
        <v>27</v>
      </c>
      <c r="G281" s="3">
        <v>162</v>
      </c>
    </row>
    <row r="282" spans="1:7" ht="14.25">
      <c r="A282" s="3" t="str">
        <f>T("21404242")</f>
        <v>21404242</v>
      </c>
      <c r="B282" s="14" t="s">
        <v>3086</v>
      </c>
      <c r="C282" s="3" t="s">
        <v>289</v>
      </c>
      <c r="D282" s="3" t="str">
        <f>T("薑良芹")</f>
        <v>薑良芹</v>
      </c>
      <c r="E282" s="3" t="str">
        <f>T("江蘇人民")</f>
        <v>江蘇人民</v>
      </c>
      <c r="F282" s="3">
        <v>40</v>
      </c>
      <c r="G282" s="3">
        <v>240</v>
      </c>
    </row>
    <row r="283" spans="1:7" ht="14.25">
      <c r="A283" s="3" t="str">
        <f>T("21404244")</f>
        <v>21404244</v>
      </c>
      <c r="B283" s="14" t="s">
        <v>3088</v>
      </c>
      <c r="C283" s="3" t="s">
        <v>290</v>
      </c>
      <c r="D283" s="3" t="str">
        <f>T("郭必強")</f>
        <v>郭必強</v>
      </c>
      <c r="E283" s="3" t="str">
        <f>T("江蘇人民")</f>
        <v>江蘇人民</v>
      </c>
      <c r="F283" s="3">
        <v>108</v>
      </c>
      <c r="G283" s="3">
        <v>648</v>
      </c>
    </row>
    <row r="284" spans="1:7" ht="14.25">
      <c r="A284" s="3" t="str">
        <f>T("21404245")</f>
        <v>21404245</v>
      </c>
      <c r="B284" s="14" t="s">
        <v>3091</v>
      </c>
      <c r="C284" s="3" t="s">
        <v>291</v>
      </c>
      <c r="D284" s="3" t="str">
        <f>T("張建寧")</f>
        <v>張建寧</v>
      </c>
      <c r="E284" s="3" t="str">
        <f>T("江蘇人民")</f>
        <v>江蘇人民</v>
      </c>
      <c r="F284" s="3">
        <v>43</v>
      </c>
      <c r="G284" s="3">
        <v>258</v>
      </c>
    </row>
    <row r="285" spans="1:7" ht="14.25">
      <c r="A285" s="3" t="str">
        <f>T("21405256")</f>
        <v>21405256</v>
      </c>
      <c r="B285" s="14" t="s">
        <v>3094</v>
      </c>
      <c r="C285" s="3" t="s">
        <v>292</v>
      </c>
      <c r="D285" s="3" t="str">
        <f>T("施旭升著")</f>
        <v>施旭升著</v>
      </c>
      <c r="E285" s="3" t="str">
        <f>T("江蘇人民")</f>
        <v>江蘇人民</v>
      </c>
      <c r="F285" s="3">
        <v>60</v>
      </c>
      <c r="G285" s="3">
        <v>360</v>
      </c>
    </row>
    <row r="286" spans="1:7" ht="14.25">
      <c r="A286" s="3" t="str">
        <f>T("21405693")</f>
        <v>21405693</v>
      </c>
      <c r="B286" s="14" t="s">
        <v>3097</v>
      </c>
      <c r="C286" s="3" t="s">
        <v>293</v>
      </c>
      <c r="D286" s="3" t="str">
        <f>T("鄒徐文著")</f>
        <v>鄒徐文著</v>
      </c>
      <c r="E286" s="3" t="str">
        <f>T("江蘇人民")</f>
        <v>江蘇人民</v>
      </c>
      <c r="F286" s="3">
        <v>50</v>
      </c>
      <c r="G286" s="3">
        <v>300</v>
      </c>
    </row>
    <row r="287" spans="1:7" ht="14.25">
      <c r="A287" s="3" t="str">
        <f>T("21405753")</f>
        <v>21405753</v>
      </c>
      <c r="B287" s="14" t="s">
        <v>3100</v>
      </c>
      <c r="C287" s="3" t="s">
        <v>294</v>
      </c>
      <c r="D287" s="3" t="str">
        <f>T("張抒；倪建林")</f>
        <v>張抒；倪建林</v>
      </c>
      <c r="E287" s="3" t="str">
        <f>T("江蘇人民")</f>
        <v>江蘇人民</v>
      </c>
      <c r="F287" s="3">
        <v>80</v>
      </c>
      <c r="G287" s="3">
        <v>480</v>
      </c>
    </row>
    <row r="288" spans="1:7" ht="14.25">
      <c r="A288" s="3" t="str">
        <f>T("21405760")</f>
        <v>21405760</v>
      </c>
      <c r="B288" s="14" t="s">
        <v>3103</v>
      </c>
      <c r="C288" s="3" t="s">
        <v>295</v>
      </c>
      <c r="D288" s="3" t="str">
        <f>T("蘇瓊")</f>
        <v>蘇瓊</v>
      </c>
      <c r="E288" s="3" t="str">
        <f>T("江蘇人民")</f>
        <v>江蘇人民</v>
      </c>
      <c r="F288" s="3">
        <v>80</v>
      </c>
      <c r="G288" s="3">
        <v>480</v>
      </c>
    </row>
    <row r="289" spans="1:7" ht="14.25">
      <c r="A289" s="3" t="str">
        <f>T("21405761")</f>
        <v>21405761</v>
      </c>
      <c r="B289" s="14" t="s">
        <v>3106</v>
      </c>
      <c r="C289" s="3" t="s">
        <v>296</v>
      </c>
      <c r="D289" s="3" t="str">
        <f>T("李靈")</f>
        <v>李靈</v>
      </c>
      <c r="E289" s="3" t="str">
        <f>T("江蘇人民")</f>
        <v>江蘇人民</v>
      </c>
      <c r="F289" s="3">
        <v>80</v>
      </c>
      <c r="G289" s="3">
        <v>480</v>
      </c>
    </row>
    <row r="290" spans="1:7" ht="14.25">
      <c r="A290" s="3" t="str">
        <f>T("21405763")</f>
        <v>21405763</v>
      </c>
      <c r="B290" s="14" t="s">
        <v>3109</v>
      </c>
      <c r="C290" s="3" t="s">
        <v>297</v>
      </c>
      <c r="D290" s="3" t="str">
        <f>T("易存國")</f>
        <v>易存國</v>
      </c>
      <c r="E290" s="3" t="str">
        <f>T("江蘇人民")</f>
        <v>江蘇人民</v>
      </c>
      <c r="F290" s="3">
        <v>80</v>
      </c>
      <c r="G290" s="3">
        <v>480</v>
      </c>
    </row>
    <row r="291" spans="1:7" ht="14.25">
      <c r="A291" s="3" t="str">
        <f>T("21406068")</f>
        <v>21406068</v>
      </c>
      <c r="B291" s="14" t="s">
        <v>3112</v>
      </c>
      <c r="C291" s="3" t="s">
        <v>298</v>
      </c>
      <c r="D291" s="3" t="str">
        <f>T("（美）蘇源熙著")</f>
        <v>（美）蘇源熙著</v>
      </c>
      <c r="E291" s="3" t="str">
        <f>T("江蘇人民")</f>
        <v>江蘇人民</v>
      </c>
      <c r="F291" s="3">
        <v>30</v>
      </c>
      <c r="G291" s="3">
        <v>180</v>
      </c>
    </row>
    <row r="292" spans="1:7" ht="14.25">
      <c r="A292" s="3" t="str">
        <f>T("21505819")</f>
        <v>21505819</v>
      </c>
      <c r="B292" s="14" t="s">
        <v>3115</v>
      </c>
      <c r="C292" s="3" t="s">
        <v>299</v>
      </c>
      <c r="D292" s="3" t="str">
        <f>T("黨春直")</f>
        <v>黨春直</v>
      </c>
      <c r="E292" s="3" t="str">
        <f>T("河南人民")</f>
        <v>河南人民</v>
      </c>
      <c r="F292" s="3">
        <v>36</v>
      </c>
      <c r="G292" s="3">
        <v>216</v>
      </c>
    </row>
    <row r="293" spans="1:7" ht="14.25">
      <c r="A293" s="3" t="str">
        <f>T("21505904")</f>
        <v>21505904</v>
      </c>
      <c r="B293" s="14" t="s">
        <v>3119</v>
      </c>
      <c r="C293" s="3" t="s">
        <v>300</v>
      </c>
      <c r="D293" s="3" t="str">
        <f>T("汝信")</f>
        <v>汝信</v>
      </c>
      <c r="E293" s="3" t="str">
        <f>T("河南人民")</f>
        <v>河南人民</v>
      </c>
      <c r="F293" s="3">
        <v>69</v>
      </c>
      <c r="G293" s="3">
        <v>414</v>
      </c>
    </row>
    <row r="294" spans="1:7" ht="14.25">
      <c r="A294" s="3" t="str">
        <f>T("21606022")</f>
        <v>21606022</v>
      </c>
      <c r="B294" s="14" t="s">
        <v>3122</v>
      </c>
      <c r="C294" s="3" t="s">
        <v>301</v>
      </c>
      <c r="D294" s="3" t="str">
        <f>T("阮忠")</f>
        <v>阮忠</v>
      </c>
      <c r="E294" s="3" t="str">
        <f>T("湖北人民")</f>
        <v>湖北人民</v>
      </c>
      <c r="F294" s="3">
        <v>38</v>
      </c>
      <c r="G294" s="3">
        <v>228</v>
      </c>
    </row>
    <row r="295" spans="1:7" ht="14.25">
      <c r="A295" s="3" t="str">
        <f>T("21606826")</f>
        <v>21606826</v>
      </c>
      <c r="B295" s="14" t="s">
        <v>3126</v>
      </c>
      <c r="C295" s="3" t="s">
        <v>302</v>
      </c>
      <c r="D295" s="3" t="str">
        <f>T("張文竹著")</f>
        <v>張文竹著</v>
      </c>
      <c r="E295" s="3" t="str">
        <f>T("湖北人民")</f>
        <v>湖北人民</v>
      </c>
      <c r="F295" s="3">
        <v>45</v>
      </c>
      <c r="G295" s="3">
        <v>270</v>
      </c>
    </row>
    <row r="296" spans="1:7" ht="14.25">
      <c r="A296" s="3" t="str">
        <f>T("21804105")</f>
        <v>21804105</v>
      </c>
      <c r="B296" s="14" t="s">
        <v>3129</v>
      </c>
      <c r="C296" s="3" t="s">
        <v>303</v>
      </c>
      <c r="D296" s="3" t="str">
        <f>T("李行遠")</f>
        <v>李行遠</v>
      </c>
      <c r="E296" s="3" t="str">
        <f>T("廣東人民")</f>
        <v>廣東人民</v>
      </c>
      <c r="F296" s="3">
        <v>43</v>
      </c>
      <c r="G296" s="3">
        <v>258</v>
      </c>
    </row>
    <row r="297" spans="1:7" ht="14.25">
      <c r="A297" s="3" t="str">
        <f>T("21804274")</f>
        <v>21804274</v>
      </c>
      <c r="B297" s="14" t="s">
        <v>3133</v>
      </c>
      <c r="C297" s="3" t="s">
        <v>3</v>
      </c>
      <c r="D297" s="3" t="str">
        <f>T("康燕")</f>
        <v>康燕</v>
      </c>
      <c r="E297" s="3" t="str">
        <f>T("雲南大學")</f>
        <v>雲南大學</v>
      </c>
      <c r="F297" s="3">
        <v>18</v>
      </c>
      <c r="G297" s="3">
        <v>108</v>
      </c>
    </row>
    <row r="298" spans="1:7" ht="14.25">
      <c r="A298" s="3" t="str">
        <f>T("21805078")</f>
        <v>21805078</v>
      </c>
      <c r="B298" s="14" t="s">
        <v>3137</v>
      </c>
      <c r="C298" s="3" t="s">
        <v>304</v>
      </c>
      <c r="D298" s="3" t="str">
        <f>T("黑馬")</f>
        <v>黑馬</v>
      </c>
      <c r="E298" s="3" t="str">
        <f>T("廣東人民")</f>
        <v>廣東人民</v>
      </c>
      <c r="F298" s="3">
        <v>26</v>
      </c>
      <c r="G298" s="3">
        <v>156</v>
      </c>
    </row>
    <row r="299" spans="1:7" ht="14.25">
      <c r="A299" s="3" t="str">
        <f>T("21805080")</f>
        <v>21805080</v>
      </c>
      <c r="B299" s="14" t="s">
        <v>3140</v>
      </c>
      <c r="C299" s="3" t="s">
        <v>305</v>
      </c>
      <c r="D299" s="3" t="str">
        <f>T("陳勇新")</f>
        <v>陳勇新</v>
      </c>
      <c r="E299" s="3" t="str">
        <f>T("廣東人民")</f>
        <v>廣東人民</v>
      </c>
      <c r="F299" s="3">
        <v>10</v>
      </c>
      <c r="G299" s="3">
        <v>60</v>
      </c>
    </row>
    <row r="300" spans="1:7" ht="14.25">
      <c r="A300" s="3" t="str">
        <f>T("21805102")</f>
        <v>21805102</v>
      </c>
      <c r="B300" s="14" t="s">
        <v>3143</v>
      </c>
      <c r="C300" s="3" t="s">
        <v>306</v>
      </c>
      <c r="D300" s="3" t="str">
        <f>T("葉豔彬")</f>
        <v>葉豔彬</v>
      </c>
      <c r="E300" s="3" t="str">
        <f>T("廣東人民")</f>
        <v>廣東人民</v>
      </c>
      <c r="F300" s="3">
        <v>8.6</v>
      </c>
      <c r="G300" s="3">
        <v>52</v>
      </c>
    </row>
    <row r="301" spans="1:7" ht="14.25">
      <c r="A301" s="3" t="str">
        <f>T("21805431")</f>
        <v>21805431</v>
      </c>
      <c r="B301" s="14" t="s">
        <v>3146</v>
      </c>
      <c r="C301" s="3" t="s">
        <v>307</v>
      </c>
      <c r="D301" s="3" t="str">
        <f>T("陳訓先")</f>
        <v>陳訓先</v>
      </c>
      <c r="E301" s="3" t="str">
        <f>T("廣東人民")</f>
        <v>廣東人民</v>
      </c>
      <c r="F301" s="3">
        <v>12</v>
      </c>
      <c r="G301" s="3">
        <v>72</v>
      </c>
    </row>
    <row r="302" spans="1:7" ht="14.25">
      <c r="A302" s="3" t="str">
        <f>T("21805433")</f>
        <v>21805433</v>
      </c>
      <c r="B302" s="14" t="s">
        <v>3149</v>
      </c>
      <c r="C302" s="3" t="s">
        <v>308</v>
      </c>
      <c r="D302" s="3" t="str">
        <f>T("余石")</f>
        <v>余石</v>
      </c>
      <c r="E302" s="3" t="str">
        <f>T("廣東人民")</f>
        <v>廣東人民</v>
      </c>
      <c r="F302" s="3">
        <v>12</v>
      </c>
      <c r="G302" s="3">
        <v>72</v>
      </c>
    </row>
    <row r="303" spans="1:7" ht="14.25">
      <c r="A303" s="3" t="str">
        <f>T("21805442")</f>
        <v>21805442</v>
      </c>
      <c r="B303" s="14" t="s">
        <v>3152</v>
      </c>
      <c r="C303" s="3" t="s">
        <v>309</v>
      </c>
      <c r="D303" s="3" t="str">
        <f>T("王遠明著")</f>
        <v>王遠明著</v>
      </c>
      <c r="E303" s="3" t="str">
        <f>T("廣東人民")</f>
        <v>廣東人民</v>
      </c>
      <c r="F303" s="3">
        <v>45</v>
      </c>
      <c r="G303" s="3">
        <v>270</v>
      </c>
    </row>
    <row r="304" spans="1:7" ht="14.25">
      <c r="A304" s="3" t="str">
        <f>T("21805482")</f>
        <v>21805482</v>
      </c>
      <c r="B304" s="14" t="s">
        <v>3155</v>
      </c>
      <c r="C304" s="3" t="s">
        <v>310</v>
      </c>
      <c r="D304" s="3" t="str">
        <f>T("李穗梅")</f>
        <v>李穗梅</v>
      </c>
      <c r="E304" s="3" t="str">
        <f>T("廣東人民")</f>
        <v>廣東人民</v>
      </c>
      <c r="F304" s="3">
        <v>12</v>
      </c>
      <c r="G304" s="3">
        <v>72</v>
      </c>
    </row>
    <row r="305" spans="1:7" ht="14.25">
      <c r="A305" s="3" t="str">
        <f>T("21805736")</f>
        <v>21805736</v>
      </c>
      <c r="B305" s="14" t="s">
        <v>3158</v>
      </c>
      <c r="C305" s="3" t="s">
        <v>311</v>
      </c>
      <c r="D305" s="3" t="str">
        <f>T("沈揚")</f>
        <v>沈揚</v>
      </c>
      <c r="E305" s="3" t="str">
        <f>T("廣東人民")</f>
        <v>廣東人民</v>
      </c>
      <c r="F305" s="3">
        <v>12</v>
      </c>
      <c r="G305" s="3">
        <v>72</v>
      </c>
    </row>
    <row r="306" spans="1:7" ht="14.25">
      <c r="A306" s="3" t="str">
        <f>T("21806083")</f>
        <v>21806083</v>
      </c>
      <c r="B306" s="14" t="s">
        <v>3161</v>
      </c>
      <c r="C306" s="3" t="s">
        <v>312</v>
      </c>
      <c r="D306" s="3" t="str">
        <f>T("閔定慶主編")</f>
        <v>閔定慶主編</v>
      </c>
      <c r="E306" s="3" t="str">
        <f>T("廣東人民")</f>
        <v>廣東人民</v>
      </c>
      <c r="F306" s="3">
        <v>24</v>
      </c>
      <c r="G306" s="3">
        <v>144</v>
      </c>
    </row>
    <row r="307" spans="1:7" ht="14.25">
      <c r="A307" s="3" t="str">
        <f>T("21806197")</f>
        <v>21806197</v>
      </c>
      <c r="B307" s="14" t="s">
        <v>3164</v>
      </c>
      <c r="C307" s="3" t="s">
        <v>313</v>
      </c>
      <c r="D307" s="3" t="str">
        <f>T("王彬彬")</f>
        <v>王彬彬</v>
      </c>
      <c r="E307" s="3" t="str">
        <f>T("廣東人民")</f>
        <v>廣東人民</v>
      </c>
      <c r="F307" s="3">
        <v>32</v>
      </c>
      <c r="G307" s="3">
        <v>192</v>
      </c>
    </row>
    <row r="308" spans="1:7" ht="14.25">
      <c r="A308" s="3" t="str">
        <f>T("21806393")</f>
        <v>21806393</v>
      </c>
      <c r="B308" s="14" t="s">
        <v>3167</v>
      </c>
      <c r="C308" s="3" t="s">
        <v>314</v>
      </c>
      <c r="D308" s="3" t="str">
        <f>T("饒凡子")</f>
        <v>饒凡子</v>
      </c>
      <c r="E308" s="3" t="str">
        <f>T("廣東人民")</f>
        <v>廣東人民</v>
      </c>
      <c r="F308" s="3">
        <v>30</v>
      </c>
      <c r="G308" s="3">
        <v>180</v>
      </c>
    </row>
    <row r="309" spans="1:7" ht="14.25">
      <c r="A309" s="3" t="str">
        <f>T("21806411")</f>
        <v>21806411</v>
      </c>
      <c r="B309" s="14" t="s">
        <v>3170</v>
      </c>
      <c r="C309" s="3" t="s">
        <v>315</v>
      </c>
      <c r="D309" s="3" t="str">
        <f>T("王飛躍")</f>
        <v>王飛躍</v>
      </c>
      <c r="E309" s="3" t="str">
        <f>T("廣東人民")</f>
        <v>廣東人民</v>
      </c>
      <c r="F309" s="3">
        <v>38</v>
      </c>
      <c r="G309" s="3">
        <v>228</v>
      </c>
    </row>
    <row r="310" spans="1:7" ht="14.25">
      <c r="A310" s="3" t="str">
        <f>T("21806572")</f>
        <v>21806572</v>
      </c>
      <c r="B310" s="14" t="s">
        <v>3173</v>
      </c>
      <c r="C310" s="3" t="s">
        <v>316</v>
      </c>
      <c r="D310" s="3" t="str">
        <f>T("王汀")</f>
        <v>王汀</v>
      </c>
      <c r="E310" s="3" t="str">
        <f>T("廣東人民")</f>
        <v>廣東人民</v>
      </c>
      <c r="F310" s="3">
        <v>39</v>
      </c>
      <c r="G310" s="3">
        <v>234</v>
      </c>
    </row>
    <row r="311" spans="1:7" ht="14.25">
      <c r="A311" s="3" t="str">
        <f>T("21806703")</f>
        <v>21806703</v>
      </c>
      <c r="B311" s="14" t="s">
        <v>3176</v>
      </c>
      <c r="C311" s="3" t="s">
        <v>317</v>
      </c>
      <c r="D311" s="3" t="str">
        <f>T("姚玳玫. 著")</f>
        <v>姚玳玫. 著</v>
      </c>
      <c r="E311" s="3" t="str">
        <f>T("廣東人民")</f>
        <v>廣東人民</v>
      </c>
      <c r="F311" s="3">
        <v>45</v>
      </c>
      <c r="G311" s="3">
        <v>270</v>
      </c>
    </row>
    <row r="312" spans="1:7" ht="14.25">
      <c r="A312" s="3" t="str">
        <f>T("21806828")</f>
        <v>21806828</v>
      </c>
      <c r="B312" s="14" t="s">
        <v>3179</v>
      </c>
      <c r="C312" s="3" t="s">
        <v>318</v>
      </c>
      <c r="D312" s="3" t="str">
        <f>T("周思源. 著")</f>
        <v>周思源. 著</v>
      </c>
      <c r="E312" s="3" t="str">
        <f>T("廣東人民")</f>
        <v>廣東人民</v>
      </c>
      <c r="F312" s="3">
        <v>28</v>
      </c>
      <c r="G312" s="3">
        <v>168</v>
      </c>
    </row>
    <row r="313" spans="1:7" ht="14.25">
      <c r="A313" s="3" t="str">
        <f>T("21906507")</f>
        <v>21906507</v>
      </c>
      <c r="B313" s="14" t="s">
        <v>3182</v>
      </c>
      <c r="C313" s="3" t="s">
        <v>319</v>
      </c>
      <c r="D313" s="3" t="str">
        <f>T("王春永")</f>
        <v>王春永</v>
      </c>
      <c r="E313" s="3" t="str">
        <f>T("廣西人民")</f>
        <v>廣西人民</v>
      </c>
      <c r="F313" s="3">
        <v>19.8</v>
      </c>
      <c r="G313" s="3">
        <v>119</v>
      </c>
    </row>
    <row r="314" spans="1:7" ht="14.25">
      <c r="A314" s="3" t="str">
        <f>T("21906582")</f>
        <v>21906582</v>
      </c>
      <c r="B314" s="14" t="s">
        <v>3186</v>
      </c>
      <c r="C314" s="3" t="s">
        <v>320</v>
      </c>
      <c r="D314" s="3" t="str">
        <f>T("劉慧")</f>
        <v>劉慧</v>
      </c>
      <c r="E314" s="3" t="str">
        <f>T("廣西人民")</f>
        <v>廣西人民</v>
      </c>
      <c r="F314" s="3">
        <v>48</v>
      </c>
      <c r="G314" s="3">
        <v>288</v>
      </c>
    </row>
    <row r="315" spans="1:7" ht="14.25">
      <c r="A315" s="3" t="str">
        <f>T("22007010")</f>
        <v>22007010</v>
      </c>
      <c r="B315" s="14" t="s">
        <v>3189</v>
      </c>
      <c r="C315" s="3" t="s">
        <v>321</v>
      </c>
      <c r="D315" s="3" t="str">
        <f>T("慶學先")</f>
        <v>慶學先</v>
      </c>
      <c r="E315" s="3" t="str">
        <f>T("四川人民")</f>
        <v>四川人民</v>
      </c>
      <c r="F315" s="3">
        <v>20</v>
      </c>
      <c r="G315" s="3">
        <v>120</v>
      </c>
    </row>
    <row r="316" spans="1:7" ht="14.25">
      <c r="A316" s="3" t="str">
        <f>T("22007382")</f>
        <v>22007382</v>
      </c>
      <c r="B316" s="14" t="s">
        <v>3193</v>
      </c>
      <c r="C316" s="3" t="s">
        <v>322</v>
      </c>
      <c r="D316" s="3" t="str">
        <f>T("杜建華")</f>
        <v>杜建華</v>
      </c>
      <c r="E316" s="3" t="str">
        <f>T("四川人民")</f>
        <v>四川人民</v>
      </c>
      <c r="F316" s="3">
        <v>98</v>
      </c>
      <c r="G316" s="3">
        <v>588</v>
      </c>
    </row>
    <row r="317" spans="1:7" ht="14.25">
      <c r="A317" s="3" t="str">
        <f>T("22007826")</f>
        <v>22007826</v>
      </c>
      <c r="B317" s="14" t="s">
        <v>3196</v>
      </c>
      <c r="C317" s="3" t="s">
        <v>323</v>
      </c>
      <c r="D317" s="3" t="str">
        <f>T("余雲華")</f>
        <v>余雲華</v>
      </c>
      <c r="E317" s="3" t="str">
        <f>T("四川人民")</f>
        <v>四川人民</v>
      </c>
      <c r="F317" s="3">
        <v>16</v>
      </c>
      <c r="G317" s="3">
        <v>96</v>
      </c>
    </row>
    <row r="318" spans="1:7" ht="14.25">
      <c r="A318" s="3" t="str">
        <f>T("22106972")</f>
        <v>22106972</v>
      </c>
      <c r="B318" s="14" t="s">
        <v>3199</v>
      </c>
      <c r="C318" s="3" t="s">
        <v>324</v>
      </c>
      <c r="D318" s="3" t="str">
        <f>T("柳斌傑")</f>
        <v>柳斌傑</v>
      </c>
      <c r="E318" s="3" t="str">
        <f>T("貴州人民")</f>
        <v>貴州人民</v>
      </c>
      <c r="F318" s="3">
        <v>40</v>
      </c>
      <c r="G318" s="3">
        <v>240</v>
      </c>
    </row>
    <row r="319" spans="1:7" ht="14.25">
      <c r="A319" s="3" t="str">
        <f>T("22106973")</f>
        <v>22106973</v>
      </c>
      <c r="B319" s="14" t="s">
        <v>3203</v>
      </c>
      <c r="C319" s="3" t="s">
        <v>325</v>
      </c>
      <c r="D319" s="3" t="str">
        <f>T("柳斌傑")</f>
        <v>柳斌傑</v>
      </c>
      <c r="E319" s="3" t="str">
        <f>T("貴州人民")</f>
        <v>貴州人民</v>
      </c>
      <c r="F319" s="3">
        <v>40</v>
      </c>
      <c r="G319" s="3">
        <v>240</v>
      </c>
    </row>
    <row r="320" spans="1:7" ht="14.25">
      <c r="A320" s="3" t="str">
        <f>T("22106975")</f>
        <v>22106975</v>
      </c>
      <c r="B320" s="14" t="s">
        <v>3205</v>
      </c>
      <c r="C320" s="3" t="s">
        <v>326</v>
      </c>
      <c r="D320" s="3" t="str">
        <f>T("柳斌傑")</f>
        <v>柳斌傑</v>
      </c>
      <c r="E320" s="3" t="str">
        <f>T("貴州人民")</f>
        <v>貴州人民</v>
      </c>
      <c r="F320" s="3">
        <v>27</v>
      </c>
      <c r="G320" s="3">
        <v>162</v>
      </c>
    </row>
    <row r="321" spans="1:7" ht="14.25">
      <c r="A321" s="3" t="str">
        <f>T("22106979")</f>
        <v>22106979</v>
      </c>
      <c r="B321" s="14" t="s">
        <v>3207</v>
      </c>
      <c r="C321" s="3" t="s">
        <v>327</v>
      </c>
      <c r="D321" s="3" t="str">
        <f>T("柳斌傑")</f>
        <v>柳斌傑</v>
      </c>
      <c r="E321" s="3" t="str">
        <f>T("貴州人民")</f>
        <v>貴州人民</v>
      </c>
      <c r="F321" s="3">
        <v>38</v>
      </c>
      <c r="G321" s="3">
        <v>228</v>
      </c>
    </row>
    <row r="322" spans="1:7" ht="14.25">
      <c r="A322" s="3" t="str">
        <f>T("22106982")</f>
        <v>22106982</v>
      </c>
      <c r="B322" s="14" t="s">
        <v>3209</v>
      </c>
      <c r="C322" s="3" t="s">
        <v>328</v>
      </c>
      <c r="D322" s="3" t="str">
        <f>T("柳斌傑")</f>
        <v>柳斌傑</v>
      </c>
      <c r="E322" s="3" t="str">
        <f>T("貴州人民")</f>
        <v>貴州人民</v>
      </c>
      <c r="F322" s="3">
        <v>41</v>
      </c>
      <c r="G322" s="3">
        <v>246</v>
      </c>
    </row>
    <row r="323" spans="1:7" ht="14.25">
      <c r="A323" s="3" t="str">
        <f>T("22106986")</f>
        <v>22106986</v>
      </c>
      <c r="B323" s="14" t="s">
        <v>3211</v>
      </c>
      <c r="C323" s="3" t="s">
        <v>329</v>
      </c>
      <c r="D323" s="3" t="str">
        <f>T("柳斌傑")</f>
        <v>柳斌傑</v>
      </c>
      <c r="E323" s="3" t="str">
        <f>T("貴州人民")</f>
        <v>貴州人民</v>
      </c>
      <c r="F323" s="3">
        <v>35</v>
      </c>
      <c r="G323" s="3">
        <v>210</v>
      </c>
    </row>
    <row r="324" spans="1:7" ht="14.25">
      <c r="A324" s="3" t="str">
        <f>T("22108198")</f>
        <v>22108198</v>
      </c>
      <c r="B324" s="14" t="s">
        <v>3213</v>
      </c>
      <c r="C324" s="3" t="s">
        <v>330</v>
      </c>
      <c r="D324" s="3" t="str">
        <f>T("酈道元著")</f>
        <v>酈道元著</v>
      </c>
      <c r="E324" s="3" t="str">
        <f>T("貴州人民")</f>
        <v>貴州人民</v>
      </c>
      <c r="F324" s="3">
        <v>97.5</v>
      </c>
      <c r="G324" s="3">
        <v>585</v>
      </c>
    </row>
    <row r="325" spans="1:7" ht="14.25">
      <c r="A325" s="3" t="str">
        <f>T("22108368")</f>
        <v>22108368</v>
      </c>
      <c r="B325" s="14" t="s">
        <v>3216</v>
      </c>
      <c r="C325" s="3" t="s">
        <v>331</v>
      </c>
      <c r="D325" s="3" t="str">
        <f>T("荀子")</f>
        <v>荀子</v>
      </c>
      <c r="E325" s="3" t="str">
        <f>T("貴州人民")</f>
        <v>貴州人民</v>
      </c>
      <c r="F325" s="3">
        <v>52</v>
      </c>
      <c r="G325" s="3">
        <v>312</v>
      </c>
    </row>
    <row r="326" spans="1:7" ht="14.25">
      <c r="A326" s="3" t="str">
        <f>T("22108377")</f>
        <v>22108377</v>
      </c>
      <c r="B326" s="14" t="s">
        <v>3219</v>
      </c>
      <c r="C326" s="3" t="s">
        <v>332</v>
      </c>
      <c r="D326" s="3" t="str">
        <f>T("呂友仁")</f>
        <v>呂友仁</v>
      </c>
      <c r="E326" s="3" t="str">
        <f>T("貴州人民")</f>
        <v>貴州人民</v>
      </c>
      <c r="F326" s="3">
        <v>89.5</v>
      </c>
      <c r="G326" s="3">
        <v>537</v>
      </c>
    </row>
    <row r="327" spans="1:7" ht="14.25">
      <c r="A327" s="3" t="str">
        <f>T("22108499")</f>
        <v>22108499</v>
      </c>
      <c r="B327" s="14" t="s">
        <v>3222</v>
      </c>
      <c r="C327" s="3" t="s">
        <v>333</v>
      </c>
      <c r="D327" s="3" t="str">
        <f>T("高宏存")</f>
        <v>高宏存</v>
      </c>
      <c r="E327" s="3" t="str">
        <f>T("貴州人民")</f>
        <v>貴州人民</v>
      </c>
      <c r="F327" s="3">
        <v>17.8</v>
      </c>
      <c r="G327" s="3">
        <v>107</v>
      </c>
    </row>
    <row r="328" spans="1:7" ht="14.25">
      <c r="A328" s="3" t="str">
        <f>T("22407844")</f>
        <v>22407844</v>
      </c>
      <c r="B328" s="14" t="s">
        <v>3225</v>
      </c>
      <c r="C328" s="3" t="s">
        <v>334</v>
      </c>
      <c r="D328" s="3" t="str">
        <f>T("高中華")</f>
        <v>高中華</v>
      </c>
      <c r="E328" s="3" t="str">
        <f>T("陝西人民")</f>
        <v>陝西人民</v>
      </c>
      <c r="F328" s="3">
        <v>25</v>
      </c>
      <c r="G328" s="3">
        <v>150</v>
      </c>
    </row>
    <row r="329" spans="1:7" ht="14.25">
      <c r="A329" s="3" t="str">
        <f>T("22408429")</f>
        <v>22408429</v>
      </c>
      <c r="B329" s="14" t="s">
        <v>3229</v>
      </c>
      <c r="C329" s="3" t="s">
        <v>335</v>
      </c>
      <c r="D329" s="3" t="str">
        <f>T("鄧慶平")</f>
        <v>鄧慶平</v>
      </c>
      <c r="E329" s="3" t="str">
        <f>T("陝西人民")</f>
        <v>陝西人民</v>
      </c>
      <c r="F329" s="3">
        <v>25</v>
      </c>
      <c r="G329" s="3">
        <v>150</v>
      </c>
    </row>
    <row r="330" spans="1:7" ht="14.25">
      <c r="A330" s="3" t="str">
        <f>T("22408430")</f>
        <v>22408430</v>
      </c>
      <c r="B330" s="14" t="s">
        <v>3232</v>
      </c>
      <c r="C330" s="3" t="s">
        <v>336</v>
      </c>
      <c r="D330" s="3" t="str">
        <f>T("賈麗英")</f>
        <v>賈麗英</v>
      </c>
      <c r="E330" s="3" t="str">
        <f>T("陝西人民")</f>
        <v>陝西人民</v>
      </c>
      <c r="F330" s="3">
        <v>26</v>
      </c>
      <c r="G330" s="3">
        <v>156</v>
      </c>
    </row>
    <row r="331" spans="1:7" ht="14.25">
      <c r="A331" s="3" t="str">
        <f>T("22408555")</f>
        <v>22408555</v>
      </c>
      <c r="B331" s="14" t="s">
        <v>3235</v>
      </c>
      <c r="C331" s="3" t="s">
        <v>337</v>
      </c>
      <c r="D331" s="3" t="str">
        <f>T("王京平著")</f>
        <v>王京平著</v>
      </c>
      <c r="E331" s="3" t="str">
        <f>T("陝西人民")</f>
        <v>陝西人民</v>
      </c>
      <c r="F331" s="3">
        <v>19</v>
      </c>
      <c r="G331" s="3">
        <v>114</v>
      </c>
    </row>
    <row r="332" spans="1:7" ht="14.25">
      <c r="A332" s="3" t="str">
        <f>T("22408562")</f>
        <v>22408562</v>
      </c>
      <c r="B332" s="14" t="s">
        <v>3238</v>
      </c>
      <c r="C332" s="3" t="s">
        <v>338</v>
      </c>
      <c r="D332" s="3" t="str">
        <f>T("田靜著")</f>
        <v>田靜著</v>
      </c>
      <c r="E332" s="3" t="str">
        <f>T("陝西人民")</f>
        <v>陝西人民</v>
      </c>
      <c r="F332" s="3">
        <v>22</v>
      </c>
      <c r="G332" s="3">
        <v>132</v>
      </c>
    </row>
    <row r="333" spans="1:7" ht="14.25">
      <c r="A333" s="3" t="str">
        <f>T("22408563")</f>
        <v>22408563</v>
      </c>
      <c r="B333" s="14" t="s">
        <v>3241</v>
      </c>
      <c r="C333" s="3" t="s">
        <v>339</v>
      </c>
      <c r="D333" s="3" t="str">
        <f>T("宋超著")</f>
        <v>宋超著</v>
      </c>
      <c r="E333" s="3" t="str">
        <f>T("陝西人民")</f>
        <v>陝西人民</v>
      </c>
      <c r="F333" s="3">
        <v>21</v>
      </c>
      <c r="G333" s="3">
        <v>126</v>
      </c>
    </row>
    <row r="334" spans="1:7" ht="14.25">
      <c r="A334" s="3" t="str">
        <f>T("22408648")</f>
        <v>22408648</v>
      </c>
      <c r="B334" s="14" t="s">
        <v>3244</v>
      </c>
      <c r="C334" s="3" t="s">
        <v>340</v>
      </c>
      <c r="D334" s="3" t="str">
        <f>T("吳蔚")</f>
        <v>吳蔚</v>
      </c>
      <c r="E334" s="3" t="str">
        <f>T("陝西人民")</f>
        <v>陝西人民</v>
      </c>
      <c r="F334" s="3">
        <v>29.8</v>
      </c>
      <c r="G334" s="3">
        <v>179</v>
      </c>
    </row>
    <row r="335" spans="1:7" ht="14.25">
      <c r="A335" s="3" t="str">
        <f>T("22408672")</f>
        <v>22408672</v>
      </c>
      <c r="B335" s="14" t="s">
        <v>3247</v>
      </c>
      <c r="C335" s="3" t="s">
        <v>341</v>
      </c>
      <c r="D335" s="3" t="str">
        <f>T("高翔等著")</f>
        <v>高翔等著</v>
      </c>
      <c r="E335" s="3" t="str">
        <f>T("陝西人民")</f>
        <v>陝西人民</v>
      </c>
      <c r="F335" s="3">
        <v>18</v>
      </c>
      <c r="G335" s="3">
        <v>108</v>
      </c>
    </row>
    <row r="336" spans="1:7" ht="14.25">
      <c r="A336" s="3" t="str">
        <f>T("22408884")</f>
        <v>22408884</v>
      </c>
      <c r="B336" s="14" t="s">
        <v>3250</v>
      </c>
      <c r="C336" s="3" t="s">
        <v>342</v>
      </c>
      <c r="D336" s="3" t="str">
        <f>T("鞠佳")</f>
        <v>鞠佳</v>
      </c>
      <c r="E336" s="3" t="str">
        <f>T("陝西人民")</f>
        <v>陝西人民</v>
      </c>
      <c r="F336" s="3">
        <v>26.8</v>
      </c>
      <c r="G336" s="3">
        <v>161</v>
      </c>
    </row>
    <row r="337" spans="1:7" ht="14.25">
      <c r="A337" s="3" t="str">
        <f>T("22408986")</f>
        <v>22408986</v>
      </c>
      <c r="B337" s="14" t="s">
        <v>3253</v>
      </c>
      <c r="C337" s="3" t="s">
        <v>343</v>
      </c>
      <c r="D337" s="3" t="str">
        <f>T("何鵬著")</f>
        <v>何鵬著</v>
      </c>
      <c r="E337" s="3" t="str">
        <f>T("陝西人民")</f>
        <v>陝西人民</v>
      </c>
      <c r="F337" s="3">
        <v>28</v>
      </c>
      <c r="G337" s="3">
        <v>168</v>
      </c>
    </row>
    <row r="338" spans="1:7" ht="14.25">
      <c r="A338" s="3" t="str">
        <f>T("22408988")</f>
        <v>22408988</v>
      </c>
      <c r="B338" s="14" t="s">
        <v>3256</v>
      </c>
      <c r="C338" s="3" t="s">
        <v>344</v>
      </c>
      <c r="D338" s="3" t="str">
        <f>T("朱鴻著")</f>
        <v>朱鴻著</v>
      </c>
      <c r="E338" s="3" t="str">
        <f>T("陝西人民")</f>
        <v>陝西人民</v>
      </c>
      <c r="F338" s="3">
        <v>29</v>
      </c>
      <c r="G338" s="3">
        <v>174</v>
      </c>
    </row>
    <row r="339" spans="1:7" ht="14.25">
      <c r="A339" s="3" t="str">
        <f>T("22409097")</f>
        <v>22409097</v>
      </c>
      <c r="B339" s="14" t="s">
        <v>3259</v>
      </c>
      <c r="C339" s="3" t="s">
        <v>345</v>
      </c>
      <c r="D339" s="3" t="str">
        <f>T("陳君")</f>
        <v>陳君</v>
      </c>
      <c r="E339" s="3" t="str">
        <f>T("陝西人民")</f>
        <v>陝西人民</v>
      </c>
      <c r="F339" s="3">
        <v>24.8</v>
      </c>
      <c r="G339" s="3">
        <v>149</v>
      </c>
    </row>
    <row r="340" spans="1:7" ht="14.25">
      <c r="A340" s="3" t="str">
        <f>T("22409122")</f>
        <v>22409122</v>
      </c>
      <c r="B340" s="14" t="s">
        <v>3262</v>
      </c>
      <c r="C340" s="3" t="s">
        <v>346</v>
      </c>
      <c r="D340" s="3" t="str">
        <f>T("陳明遠")</f>
        <v>陳明遠</v>
      </c>
      <c r="E340" s="3" t="str">
        <f>T("陝西人民")</f>
        <v>陝西人民</v>
      </c>
      <c r="F340" s="3">
        <v>29</v>
      </c>
      <c r="G340" s="3">
        <v>174</v>
      </c>
    </row>
    <row r="341" spans="1:7" ht="14.25">
      <c r="A341" s="3" t="str">
        <f>T("22409205")</f>
        <v>22409205</v>
      </c>
      <c r="B341" s="14" t="s">
        <v>3265</v>
      </c>
      <c r="C341" s="3" t="s">
        <v>347</v>
      </c>
      <c r="D341" s="3" t="str">
        <f>T("閆謙君. 編著")</f>
        <v>閆謙君. 編著</v>
      </c>
      <c r="E341" s="3" t="str">
        <f>T("陝西人民")</f>
        <v>陝西人民</v>
      </c>
      <c r="F341" s="3">
        <v>16</v>
      </c>
      <c r="G341" s="3">
        <v>96</v>
      </c>
    </row>
    <row r="342" spans="1:7" ht="14.25">
      <c r="A342" s="3" t="str">
        <f>T("22409208")</f>
        <v>22409208</v>
      </c>
      <c r="B342" s="14" t="s">
        <v>3268</v>
      </c>
      <c r="C342" s="3" t="s">
        <v>348</v>
      </c>
      <c r="D342" s="3" t="str">
        <f>T("閆謙君")</f>
        <v>閆謙君</v>
      </c>
      <c r="E342" s="3" t="str">
        <f>T("陝西人民")</f>
        <v>陝西人民</v>
      </c>
      <c r="F342" s="3">
        <v>16</v>
      </c>
      <c r="G342" s="3">
        <v>96</v>
      </c>
    </row>
    <row r="343" spans="1:7" ht="14.25">
      <c r="A343" s="3" t="str">
        <f>T("22409234")</f>
        <v>22409234</v>
      </c>
      <c r="B343" s="14" t="s">
        <v>3271</v>
      </c>
      <c r="C343" s="3" t="s">
        <v>349</v>
      </c>
      <c r="D343" s="3" t="str">
        <f>T("柳隱溪")</f>
        <v>柳隱溪</v>
      </c>
      <c r="E343" s="3" t="str">
        <f>T("陝西人民")</f>
        <v>陝西人民</v>
      </c>
      <c r="F343" s="3">
        <v>23.8</v>
      </c>
      <c r="G343" s="3">
        <v>143</v>
      </c>
    </row>
    <row r="344" spans="1:7" ht="14.25">
      <c r="A344" s="3" t="str">
        <f>T("22409235")</f>
        <v>22409235</v>
      </c>
      <c r="B344" s="14" t="s">
        <v>3274</v>
      </c>
      <c r="C344" s="3" t="s">
        <v>350</v>
      </c>
      <c r="D344" s="3" t="str">
        <f>T("司馬路. 著")</f>
        <v>司馬路. 著</v>
      </c>
      <c r="E344" s="3" t="str">
        <f>T("陝西人民")</f>
        <v>陝西人民</v>
      </c>
      <c r="F344" s="3">
        <v>32.8</v>
      </c>
      <c r="G344" s="3">
        <v>197</v>
      </c>
    </row>
    <row r="345" spans="1:7" ht="14.25">
      <c r="A345" s="3" t="str">
        <f>T("22603553")</f>
        <v>22603553</v>
      </c>
      <c r="B345" s="14" t="s">
        <v>3277</v>
      </c>
      <c r="C345" s="3" t="s">
        <v>351</v>
      </c>
      <c r="D345" s="3" t="str">
        <f>T("李民發")</f>
        <v>李民發</v>
      </c>
      <c r="E345" s="3" t="str">
        <f>T("甘肅人民")</f>
        <v>甘肅人民</v>
      </c>
      <c r="F345" s="3">
        <v>128</v>
      </c>
      <c r="G345" s="3">
        <v>768</v>
      </c>
    </row>
    <row r="346" spans="1:7" ht="14.25">
      <c r="A346" s="3" t="str">
        <f>T("22702525")</f>
        <v>22702525</v>
      </c>
      <c r="B346" s="14" t="s">
        <v>3281</v>
      </c>
      <c r="C346" s="3" t="s">
        <v>352</v>
      </c>
      <c r="D346" s="3" t="str">
        <f>T("張夫也")</f>
        <v>張夫也</v>
      </c>
      <c r="E346" s="3" t="str">
        <f>T("寧夏人民")</f>
        <v>寧夏人民</v>
      </c>
      <c r="F346" s="3">
        <v>68</v>
      </c>
      <c r="G346" s="3">
        <v>408</v>
      </c>
    </row>
    <row r="347" spans="1:7" ht="14.25">
      <c r="A347" s="3" t="str">
        <f>T("22702526")</f>
        <v>22702526</v>
      </c>
      <c r="B347" s="14" t="s">
        <v>3285</v>
      </c>
      <c r="C347" s="3" t="s">
        <v>353</v>
      </c>
      <c r="D347" s="3" t="str">
        <f>T("張夫也著")</f>
        <v>張夫也著</v>
      </c>
      <c r="E347" s="3" t="str">
        <f>T("寧夏人民")</f>
        <v>寧夏人民</v>
      </c>
      <c r="F347" s="3">
        <v>68</v>
      </c>
      <c r="G347" s="3">
        <v>408</v>
      </c>
    </row>
    <row r="348" spans="1:7" ht="14.25">
      <c r="A348" s="3" t="str">
        <f>T("22703250")</f>
        <v>22703250</v>
      </c>
      <c r="B348" s="14" t="s">
        <v>3288</v>
      </c>
      <c r="C348" s="3" t="s">
        <v>354</v>
      </c>
      <c r="D348" s="3" t="str">
        <f>T("劉順利編著")</f>
        <v>劉順利編著</v>
      </c>
      <c r="E348" s="3" t="str">
        <f>T("寧夏人民")</f>
        <v>寧夏人民</v>
      </c>
      <c r="F348" s="3">
        <v>35</v>
      </c>
      <c r="G348" s="3">
        <v>210</v>
      </c>
    </row>
    <row r="349" spans="1:7" ht="14.25">
      <c r="A349" s="3" t="str">
        <f>T("22703748")</f>
        <v>22703748</v>
      </c>
      <c r="B349" s="14" t="s">
        <v>3291</v>
      </c>
      <c r="C349" s="3" t="s">
        <v>355</v>
      </c>
      <c r="D349" s="3" t="str">
        <f>T("馮驥才")</f>
        <v>馮驥才</v>
      </c>
      <c r="E349" s="3" t="str">
        <f>T("寧夏人民")</f>
        <v>寧夏人民</v>
      </c>
      <c r="F349" s="3">
        <v>20</v>
      </c>
      <c r="G349" s="3">
        <v>120</v>
      </c>
    </row>
    <row r="350" spans="1:7" ht="14.25">
      <c r="A350" s="3" t="str">
        <f>T("22703928")</f>
        <v>22703928</v>
      </c>
      <c r="B350" s="14" t="s">
        <v>3293</v>
      </c>
      <c r="C350" s="3" t="s">
        <v>356</v>
      </c>
      <c r="D350" s="3" t="str">
        <f>T("劉大鈞")</f>
        <v>劉大鈞</v>
      </c>
      <c r="E350" s="3" t="str">
        <f>T("寧夏人民")</f>
        <v>寧夏人民</v>
      </c>
      <c r="F350" s="3">
        <v>38</v>
      </c>
      <c r="G350" s="3">
        <v>228</v>
      </c>
    </row>
    <row r="351" spans="1:7" ht="14.25">
      <c r="A351" s="3" t="str">
        <f>T("22812344")</f>
        <v>22812344</v>
      </c>
      <c r="B351" s="14" t="s">
        <v>3296</v>
      </c>
      <c r="C351" s="3" t="s">
        <v>357</v>
      </c>
      <c r="D351" s="3" t="str">
        <f>T("未建檔")</f>
        <v>未建檔</v>
      </c>
      <c r="E351" s="3" t="str">
        <f>T("新疆青少年")</f>
        <v>新疆青少年</v>
      </c>
      <c r="F351" s="3">
        <v>350</v>
      </c>
      <c r="G351" s="3">
        <v>2100</v>
      </c>
    </row>
    <row r="352" spans="1:7" ht="14.25">
      <c r="A352" s="3" t="str">
        <f>T("22812736")</f>
        <v>22812736</v>
      </c>
      <c r="B352" s="14" t="s">
        <v>3300</v>
      </c>
      <c r="C352" s="3" t="s">
        <v>358</v>
      </c>
      <c r="D352" s="3" t="str">
        <f>T("李強")</f>
        <v>李強</v>
      </c>
      <c r="E352" s="3" t="str">
        <f>T("新疆人民")</f>
        <v>新疆人民</v>
      </c>
      <c r="F352" s="3">
        <v>64.5</v>
      </c>
      <c r="G352" s="3">
        <v>387</v>
      </c>
    </row>
    <row r="353" spans="1:7" ht="14.25">
      <c r="A353" s="3" t="str">
        <f>T("22812777")</f>
        <v>22812777</v>
      </c>
      <c r="B353" s="14" t="s">
        <v>3304</v>
      </c>
      <c r="C353" s="3" t="s">
        <v>359</v>
      </c>
      <c r="D353" s="3" t="str">
        <f>T("賀靈")</f>
        <v>賀靈</v>
      </c>
      <c r="E353" s="3" t="str">
        <f>T("新疆人民")</f>
        <v>新疆人民</v>
      </c>
      <c r="F353" s="3">
        <v>53</v>
      </c>
      <c r="G353" s="3">
        <v>318</v>
      </c>
    </row>
    <row r="354" spans="1:7" ht="14.25">
      <c r="A354" s="3" t="str">
        <f>T("22812778")</f>
        <v>22812778</v>
      </c>
      <c r="B354" s="14" t="s">
        <v>3307</v>
      </c>
      <c r="C354" s="3" t="s">
        <v>360</v>
      </c>
      <c r="D354" s="3" t="str">
        <f>T("田衛疆")</f>
        <v>田衛疆</v>
      </c>
      <c r="E354" s="3" t="str">
        <f>T("新疆人民")</f>
        <v>新疆人民</v>
      </c>
      <c r="F354" s="3">
        <v>61</v>
      </c>
      <c r="G354" s="3">
        <v>366</v>
      </c>
    </row>
    <row r="355" spans="1:7" ht="14.25">
      <c r="A355" s="3" t="str">
        <f>T("22812785")</f>
        <v>22812785</v>
      </c>
      <c r="B355" s="14" t="s">
        <v>3310</v>
      </c>
      <c r="C355" s="3" t="s">
        <v>361</v>
      </c>
      <c r="D355" s="3" t="str">
        <f>T("李競成")</f>
        <v>李競成</v>
      </c>
      <c r="E355" s="3" t="str">
        <f>T("新疆人民")</f>
        <v>新疆人民</v>
      </c>
      <c r="F355" s="3">
        <v>38.5</v>
      </c>
      <c r="G355" s="3">
        <v>231</v>
      </c>
    </row>
    <row r="356" spans="1:7" ht="14.25">
      <c r="A356" s="3" t="str">
        <f>T("22812787")</f>
        <v>22812787</v>
      </c>
      <c r="B356" s="14" t="s">
        <v>3313</v>
      </c>
      <c r="C356" s="3" t="s">
        <v>362</v>
      </c>
      <c r="D356" s="3" t="str">
        <f>T("韓康信")</f>
        <v>韓康信</v>
      </c>
      <c r="E356" s="3" t="str">
        <f>T("新疆人民")</f>
        <v>新疆人民</v>
      </c>
      <c r="F356" s="3">
        <v>87.5</v>
      </c>
      <c r="G356" s="3">
        <v>525</v>
      </c>
    </row>
    <row r="357" spans="1:7" ht="14.25">
      <c r="A357" s="3" t="str">
        <f>T("22812789")</f>
        <v>22812789</v>
      </c>
      <c r="B357" s="14" t="s">
        <v>3316</v>
      </c>
      <c r="C357" s="3" t="s">
        <v>363</v>
      </c>
      <c r="D357" s="3" t="str">
        <f>T("陸暉")</f>
        <v>陸暉</v>
      </c>
      <c r="E357" s="3" t="str">
        <f>T("新疆人民")</f>
        <v>新疆人民</v>
      </c>
      <c r="F357" s="3">
        <v>43</v>
      </c>
      <c r="G357" s="3">
        <v>258</v>
      </c>
    </row>
    <row r="358" spans="1:7" ht="14.25">
      <c r="A358" s="3" t="str">
        <f>T("22812839")</f>
        <v>22812839</v>
      </c>
      <c r="B358" s="14" t="s">
        <v>3319</v>
      </c>
      <c r="C358" s="3" t="s">
        <v>364</v>
      </c>
      <c r="D358" s="3" t="str">
        <f>T("金秋")</f>
        <v>金秋</v>
      </c>
      <c r="E358" s="3" t="str">
        <f>T("新疆人民")</f>
        <v>新疆人民</v>
      </c>
      <c r="F358" s="3">
        <v>52</v>
      </c>
      <c r="G358" s="3">
        <v>312</v>
      </c>
    </row>
    <row r="359" spans="1:7" ht="14.25">
      <c r="A359" s="3" t="str">
        <f>T("22813235")</f>
        <v>22813235</v>
      </c>
      <c r="B359" s="14" t="s">
        <v>3322</v>
      </c>
      <c r="C359" s="3" t="s">
        <v>365</v>
      </c>
      <c r="D359" s="3" t="str">
        <f>T("未建檔")</f>
        <v>未建檔</v>
      </c>
      <c r="E359" s="3" t="str">
        <f>T("新疆人民")</f>
        <v>新疆人民</v>
      </c>
      <c r="F359" s="3">
        <v>36</v>
      </c>
      <c r="G359" s="3">
        <v>216</v>
      </c>
    </row>
    <row r="360" spans="1:7" ht="14.25">
      <c r="A360" s="3" t="str">
        <f>T("22814069")</f>
        <v>22814069</v>
      </c>
      <c r="B360" s="14" t="s">
        <v>3327</v>
      </c>
      <c r="C360" s="3" t="s">
        <v>366</v>
      </c>
      <c r="D360" s="3">
        <f>T("")</f>
      </c>
      <c r="E360" s="3" t="str">
        <f>T("新疆人民")</f>
        <v>新疆人民</v>
      </c>
      <c r="F360" s="3">
        <v>138</v>
      </c>
      <c r="G360" s="3">
        <v>828</v>
      </c>
    </row>
    <row r="361" spans="1:7" ht="14.25">
      <c r="A361" s="3" t="str">
        <f>T("22814094")</f>
        <v>22814094</v>
      </c>
      <c r="B361" s="14" t="s">
        <v>3329</v>
      </c>
      <c r="C361" s="3" t="s">
        <v>367</v>
      </c>
      <c r="D361" s="3" t="str">
        <f>T("袁祖亮.袁延勝.朱和平")</f>
        <v>袁祖亮.袁延勝.朱和平</v>
      </c>
      <c r="E361" s="3" t="str">
        <f>T("新疆人民")</f>
        <v>新疆人民</v>
      </c>
      <c r="F361" s="3">
        <v>56</v>
      </c>
      <c r="G361" s="3">
        <v>336</v>
      </c>
    </row>
    <row r="362" spans="1:7" ht="14.25">
      <c r="A362" s="3" t="str">
        <f>T("22814096")</f>
        <v>22814096</v>
      </c>
      <c r="B362" s="14" t="s">
        <v>3332</v>
      </c>
      <c r="C362" s="3" t="s">
        <v>368</v>
      </c>
      <c r="D362" s="3" t="str">
        <f>T("韓康信")</f>
        <v>韓康信</v>
      </c>
      <c r="E362" s="3" t="str">
        <f>T("新疆人民")</f>
        <v>新疆人民</v>
      </c>
      <c r="F362" s="3">
        <v>120</v>
      </c>
      <c r="G362" s="3">
        <v>720</v>
      </c>
    </row>
    <row r="363" spans="1:7" ht="14.25">
      <c r="A363" s="3" t="str">
        <f>T("22814097")</f>
        <v>22814097</v>
      </c>
      <c r="B363" s="14" t="s">
        <v>3334</v>
      </c>
      <c r="C363" s="3" t="s">
        <v>369</v>
      </c>
      <c r="D363" s="3" t="str">
        <f>T("蓋山林")</f>
        <v>蓋山林</v>
      </c>
      <c r="E363" s="3" t="str">
        <f>T("新疆人民")</f>
        <v>新疆人民</v>
      </c>
      <c r="F363" s="3">
        <v>86.7</v>
      </c>
      <c r="G363" s="3">
        <v>520</v>
      </c>
    </row>
    <row r="364" spans="1:7" ht="14.25">
      <c r="A364" s="3" t="str">
        <f>T("22814098")</f>
        <v>22814098</v>
      </c>
      <c r="B364" s="14" t="s">
        <v>3337</v>
      </c>
      <c r="C364" s="3" t="s">
        <v>370</v>
      </c>
      <c r="D364" s="3" t="str">
        <f>T("賀靈")</f>
        <v>賀靈</v>
      </c>
      <c r="E364" s="3" t="str">
        <f>T("新疆人民")</f>
        <v>新疆人民</v>
      </c>
      <c r="F364" s="3">
        <v>71.8</v>
      </c>
      <c r="G364" s="3">
        <v>431</v>
      </c>
    </row>
    <row r="365" spans="1:7" ht="14.25">
      <c r="A365" s="3" t="str">
        <f>T("22814099")</f>
        <v>22814099</v>
      </c>
      <c r="B365" s="14" t="s">
        <v>3339</v>
      </c>
      <c r="C365" s="3" t="s">
        <v>371</v>
      </c>
      <c r="D365" s="3" t="str">
        <f>T("陸暉")</f>
        <v>陸暉</v>
      </c>
      <c r="E365" s="3" t="str">
        <f>T("新疆人民")</f>
        <v>新疆人民</v>
      </c>
      <c r="F365" s="3">
        <v>57.3</v>
      </c>
      <c r="G365" s="3">
        <v>344</v>
      </c>
    </row>
    <row r="366" spans="1:7" ht="14.25">
      <c r="A366" s="3" t="str">
        <f>T("22814102")</f>
        <v>22814102</v>
      </c>
      <c r="B366" s="14" t="s">
        <v>3341</v>
      </c>
      <c r="C366" s="3" t="s">
        <v>372</v>
      </c>
      <c r="D366" s="3" t="str">
        <f>T("李強")</f>
        <v>李強</v>
      </c>
      <c r="E366" s="3" t="str">
        <f>T("新疆人民")</f>
        <v>新疆人民</v>
      </c>
      <c r="F366" s="3">
        <v>88</v>
      </c>
      <c r="G366" s="3">
        <v>528</v>
      </c>
    </row>
    <row r="367" spans="1:7" ht="14.25">
      <c r="A367" s="3" t="str">
        <f>T("22814103")</f>
        <v>22814103</v>
      </c>
      <c r="B367" s="14" t="s">
        <v>3343</v>
      </c>
      <c r="C367" s="3" t="s">
        <v>373</v>
      </c>
      <c r="D367" s="3" t="str">
        <f>T("田衛疆")</f>
        <v>田衛疆</v>
      </c>
      <c r="E367" s="3" t="str">
        <f>T("新疆人民")</f>
        <v>新疆人民</v>
      </c>
      <c r="F367" s="3">
        <v>82</v>
      </c>
      <c r="G367" s="3">
        <v>492</v>
      </c>
    </row>
    <row r="368" spans="1:7" ht="14.25">
      <c r="A368" s="3" t="str">
        <f>T("22814107")</f>
        <v>22814107</v>
      </c>
      <c r="B368" s="14" t="s">
        <v>3345</v>
      </c>
      <c r="C368" s="3" t="s">
        <v>374</v>
      </c>
      <c r="D368" s="3" t="str">
        <f>T("王博.祁小山")</f>
        <v>王博.祁小山</v>
      </c>
      <c r="E368" s="3" t="str">
        <f>T("新疆人民")</f>
        <v>新疆人民</v>
      </c>
      <c r="F368" s="3">
        <v>81.5</v>
      </c>
      <c r="G368" s="3">
        <v>489</v>
      </c>
    </row>
    <row r="369" spans="1:7" ht="14.25">
      <c r="A369" s="3" t="str">
        <f>T("22814110")</f>
        <v>22814110</v>
      </c>
      <c r="B369" s="14" t="s">
        <v>3348</v>
      </c>
      <c r="C369" s="3" t="s">
        <v>375</v>
      </c>
      <c r="D369" s="3" t="str">
        <f>T("趙予征")</f>
        <v>趙予征</v>
      </c>
      <c r="E369" s="3" t="str">
        <f>T("新疆人民")</f>
        <v>新疆人民</v>
      </c>
      <c r="F369" s="3">
        <v>85</v>
      </c>
      <c r="G369" s="3">
        <v>510</v>
      </c>
    </row>
    <row r="370" spans="1:7" ht="14.25">
      <c r="A370" s="3" t="str">
        <f>T("22814121")</f>
        <v>22814121</v>
      </c>
      <c r="B370" s="14" t="s">
        <v>3351</v>
      </c>
      <c r="C370" s="3" t="s">
        <v>376</v>
      </c>
      <c r="D370" s="3" t="str">
        <f>T("沈福偉")</f>
        <v>沈福偉</v>
      </c>
      <c r="E370" s="3" t="str">
        <f>T("新疆人民")</f>
        <v>新疆人民</v>
      </c>
      <c r="F370" s="3">
        <v>87</v>
      </c>
      <c r="G370" s="3">
        <v>522</v>
      </c>
    </row>
    <row r="371" spans="1:7" ht="14.25">
      <c r="A371" s="3" t="str">
        <f>T("22814162")</f>
        <v>22814162</v>
      </c>
      <c r="B371" s="14" t="s">
        <v>3354</v>
      </c>
      <c r="C371" s="3" t="s">
        <v>377</v>
      </c>
      <c r="D371" s="3" t="str">
        <f>T("未建檔")</f>
        <v>未建檔</v>
      </c>
      <c r="E371" s="3" t="str">
        <f>T("新疆人民")</f>
        <v>新疆人民</v>
      </c>
      <c r="F371" s="3">
        <v>20</v>
      </c>
      <c r="G371" s="3">
        <v>120</v>
      </c>
    </row>
    <row r="372" spans="1:7" ht="14.25">
      <c r="A372" s="3" t="str">
        <f>T("22814163")</f>
        <v>22814163</v>
      </c>
      <c r="B372" s="14" t="s">
        <v>3356</v>
      </c>
      <c r="C372" s="3" t="s">
        <v>378</v>
      </c>
      <c r="D372" s="3" t="str">
        <f>T("未建檔")</f>
        <v>未建檔</v>
      </c>
      <c r="E372" s="3" t="str">
        <f>T("新疆人民")</f>
        <v>新疆人民</v>
      </c>
      <c r="F372" s="3">
        <v>20</v>
      </c>
      <c r="G372" s="3">
        <v>120</v>
      </c>
    </row>
    <row r="373" spans="1:7" ht="14.25">
      <c r="A373" s="3" t="str">
        <f>T("22814164")</f>
        <v>22814164</v>
      </c>
      <c r="B373" s="14" t="s">
        <v>3358</v>
      </c>
      <c r="C373" s="3" t="s">
        <v>379</v>
      </c>
      <c r="D373" s="3" t="str">
        <f>T("未建檔")</f>
        <v>未建檔</v>
      </c>
      <c r="E373" s="3" t="str">
        <f>T("新疆人民")</f>
        <v>新疆人民</v>
      </c>
      <c r="F373" s="3">
        <v>20</v>
      </c>
      <c r="G373" s="3">
        <v>120</v>
      </c>
    </row>
    <row r="374" spans="1:7" ht="14.25">
      <c r="A374" s="3" t="str">
        <f>T("22814165")</f>
        <v>22814165</v>
      </c>
      <c r="B374" s="14" t="s">
        <v>3360</v>
      </c>
      <c r="C374" s="3" t="s">
        <v>380</v>
      </c>
      <c r="D374" s="3" t="str">
        <f>T("未建檔")</f>
        <v>未建檔</v>
      </c>
      <c r="E374" s="3" t="str">
        <f>T("新疆人民")</f>
        <v>新疆人民</v>
      </c>
      <c r="F374" s="3">
        <v>20</v>
      </c>
      <c r="G374" s="3">
        <v>120</v>
      </c>
    </row>
    <row r="375" spans="1:7" ht="14.25">
      <c r="A375" s="3" t="str">
        <f>T("22814166")</f>
        <v>22814166</v>
      </c>
      <c r="B375" s="14" t="s">
        <v>3362</v>
      </c>
      <c r="C375" s="3" t="s">
        <v>381</v>
      </c>
      <c r="D375" s="3" t="str">
        <f>T("未建檔")</f>
        <v>未建檔</v>
      </c>
      <c r="E375" s="3" t="str">
        <f>T("新疆人民")</f>
        <v>新疆人民</v>
      </c>
      <c r="F375" s="3">
        <v>20</v>
      </c>
      <c r="G375" s="3">
        <v>120</v>
      </c>
    </row>
    <row r="376" spans="1:7" ht="14.25">
      <c r="A376" s="3" t="str">
        <f>T("22814167")</f>
        <v>22814167</v>
      </c>
      <c r="B376" s="14" t="s">
        <v>3364</v>
      </c>
      <c r="C376" s="3" t="s">
        <v>382</v>
      </c>
      <c r="D376" s="3" t="str">
        <f>T("未建檔")</f>
        <v>未建檔</v>
      </c>
      <c r="E376" s="3" t="str">
        <f>T("新疆人民")</f>
        <v>新疆人民</v>
      </c>
      <c r="F376" s="3">
        <v>20</v>
      </c>
      <c r="G376" s="3">
        <v>120</v>
      </c>
    </row>
    <row r="377" spans="1:7" ht="14.25">
      <c r="A377" s="3" t="str">
        <f>T("22814217")</f>
        <v>22814217</v>
      </c>
      <c r="B377" s="14" t="s">
        <v>3366</v>
      </c>
      <c r="C377" s="3" t="s">
        <v>383</v>
      </c>
      <c r="D377" s="3" t="str">
        <f>T("未建檔")</f>
        <v>未建檔</v>
      </c>
      <c r="E377" s="3" t="str">
        <f>T("新疆人民")</f>
        <v>新疆人民</v>
      </c>
      <c r="F377" s="3">
        <v>20</v>
      </c>
      <c r="G377" s="3">
        <v>120</v>
      </c>
    </row>
    <row r="378" spans="1:7" ht="14.25">
      <c r="A378" s="3" t="str">
        <f>T("22814218")</f>
        <v>22814218</v>
      </c>
      <c r="B378" s="14" t="s">
        <v>3368</v>
      </c>
      <c r="C378" s="3" t="s">
        <v>384</v>
      </c>
      <c r="D378" s="3" t="str">
        <f>T("未建檔")</f>
        <v>未建檔</v>
      </c>
      <c r="E378" s="3" t="str">
        <f>T("新疆人民")</f>
        <v>新疆人民</v>
      </c>
      <c r="F378" s="3">
        <v>20</v>
      </c>
      <c r="G378" s="3">
        <v>120</v>
      </c>
    </row>
    <row r="379" spans="1:7" ht="14.25">
      <c r="A379" s="3" t="str">
        <f>T("22814334")</f>
        <v>22814334</v>
      </c>
      <c r="B379" s="14" t="s">
        <v>3370</v>
      </c>
      <c r="C379" s="3" t="s">
        <v>385</v>
      </c>
      <c r="D379" s="3" t="str">
        <f>T("未建檔")</f>
        <v>未建檔</v>
      </c>
      <c r="E379" s="3" t="str">
        <f>T("新疆人民")</f>
        <v>新疆人民</v>
      </c>
      <c r="F379" s="3">
        <v>390</v>
      </c>
      <c r="G379" s="3">
        <v>2340</v>
      </c>
    </row>
    <row r="380" spans="1:7" ht="14.25">
      <c r="A380" s="3" t="str">
        <f>T("22814498")</f>
        <v>22814498</v>
      </c>
      <c r="B380" s="14" t="s">
        <v>3372</v>
      </c>
      <c r="C380" s="3" t="s">
        <v>386</v>
      </c>
      <c r="D380" s="3" t="str">
        <f>T("未建檔")</f>
        <v>未建檔</v>
      </c>
      <c r="E380" s="3" t="str">
        <f>T("新疆人民")</f>
        <v>新疆人民</v>
      </c>
      <c r="F380" s="3">
        <v>20</v>
      </c>
      <c r="G380" s="3">
        <v>120</v>
      </c>
    </row>
    <row r="381" spans="1:7" ht="14.25">
      <c r="A381" s="3" t="str">
        <f>T("22814499")</f>
        <v>22814499</v>
      </c>
      <c r="B381" s="14" t="s">
        <v>3374</v>
      </c>
      <c r="C381" s="3" t="s">
        <v>387</v>
      </c>
      <c r="D381" s="3" t="str">
        <f>T("未建檔")</f>
        <v>未建檔</v>
      </c>
      <c r="E381" s="3" t="str">
        <f>T("新疆人民")</f>
        <v>新疆人民</v>
      </c>
      <c r="F381" s="3">
        <v>20</v>
      </c>
      <c r="G381" s="3">
        <v>120</v>
      </c>
    </row>
    <row r="382" spans="1:7" ht="14.25">
      <c r="A382" s="3" t="str">
        <f>T("22815011")</f>
        <v>22815011</v>
      </c>
      <c r="B382" s="14" t="s">
        <v>3388</v>
      </c>
      <c r="C382" s="3" t="s">
        <v>388</v>
      </c>
      <c r="D382" s="3" t="str">
        <f>T("未建檔")</f>
        <v>未建檔</v>
      </c>
      <c r="E382" s="3" t="str">
        <f>T("新疆人民")</f>
        <v>新疆人民</v>
      </c>
      <c r="F382" s="3">
        <v>102</v>
      </c>
      <c r="G382" s="3">
        <v>612</v>
      </c>
    </row>
    <row r="383" spans="1:7" ht="14.25">
      <c r="A383" s="3" t="str">
        <f>T("22815143")</f>
        <v>22815143</v>
      </c>
      <c r="B383" s="14" t="s">
        <v>3390</v>
      </c>
      <c r="C383" s="3" t="s">
        <v>389</v>
      </c>
      <c r="D383" s="3" t="str">
        <f>T("未建檔")</f>
        <v>未建檔</v>
      </c>
      <c r="E383" s="3" t="str">
        <f>T("新疆人民")</f>
        <v>新疆人民</v>
      </c>
      <c r="F383" s="3">
        <v>98</v>
      </c>
      <c r="G383" s="3">
        <v>588</v>
      </c>
    </row>
    <row r="384" spans="1:7" ht="14.25">
      <c r="A384" s="3" t="str">
        <f>T("22815145")</f>
        <v>22815145</v>
      </c>
      <c r="B384" s="14" t="s">
        <v>3392</v>
      </c>
      <c r="C384" s="3" t="s">
        <v>390</v>
      </c>
      <c r="D384" s="3" t="str">
        <f>T("未建檔")</f>
        <v>未建檔</v>
      </c>
      <c r="E384" s="3" t="str">
        <f>T("新疆人民")</f>
        <v>新疆人民</v>
      </c>
      <c r="F384" s="3">
        <v>65</v>
      </c>
      <c r="G384" s="3">
        <v>390</v>
      </c>
    </row>
    <row r="385" spans="1:7" ht="14.25">
      <c r="A385" s="3" t="str">
        <f>T("22815337")</f>
        <v>22815337</v>
      </c>
      <c r="B385" s="14" t="s">
        <v>3394</v>
      </c>
      <c r="C385" s="3" t="s">
        <v>391</v>
      </c>
      <c r="D385" s="3" t="str">
        <f>T("未建檔")</f>
        <v>未建檔</v>
      </c>
      <c r="E385" s="3" t="str">
        <f>T("新疆人民")</f>
        <v>新疆人民</v>
      </c>
      <c r="F385" s="3">
        <v>320</v>
      </c>
      <c r="G385" s="3">
        <v>1920</v>
      </c>
    </row>
    <row r="386" spans="1:7" ht="14.25">
      <c r="A386" s="3" t="str">
        <f>T("22870793")</f>
        <v>22870793</v>
      </c>
      <c r="B386" s="14" t="s">
        <v>3396</v>
      </c>
      <c r="C386" s="3" t="s">
        <v>392</v>
      </c>
      <c r="D386" s="3">
        <f>T("")</f>
      </c>
      <c r="E386" s="3" t="str">
        <f>T("新疆人民")</f>
        <v>新疆人民</v>
      </c>
      <c r="F386" s="3">
        <v>50</v>
      </c>
      <c r="G386" s="3">
        <v>300</v>
      </c>
    </row>
    <row r="387" spans="1:7" ht="14.25">
      <c r="A387" s="3" t="str">
        <f>T("22901423")</f>
        <v>22901423</v>
      </c>
      <c r="B387" s="14" t="s">
        <v>3398</v>
      </c>
      <c r="C387" s="3" t="s">
        <v>393</v>
      </c>
      <c r="D387" s="3" t="str">
        <f>T("張正隆")</f>
        <v>張正隆</v>
      </c>
      <c r="E387" s="3" t="str">
        <f>T("重慶")</f>
        <v>重慶</v>
      </c>
      <c r="F387" s="3">
        <v>25</v>
      </c>
      <c r="G387" s="3">
        <v>150</v>
      </c>
    </row>
    <row r="388" spans="1:7" ht="14.25">
      <c r="A388" s="3" t="str">
        <f>T("22901967")</f>
        <v>22901967</v>
      </c>
      <c r="B388" s="14" t="s">
        <v>3402</v>
      </c>
      <c r="C388" s="3" t="s">
        <v>394</v>
      </c>
      <c r="D388" s="3" t="str">
        <f>T("孫鑰洋")</f>
        <v>孫鑰洋</v>
      </c>
      <c r="E388" s="3" t="str">
        <f>T("重慶")</f>
        <v>重慶</v>
      </c>
      <c r="F388" s="3">
        <v>28</v>
      </c>
      <c r="G388" s="3">
        <v>168</v>
      </c>
    </row>
    <row r="389" spans="1:7" ht="14.25">
      <c r="A389" s="3" t="str">
        <f>T("22902542")</f>
        <v>22902542</v>
      </c>
      <c r="B389" s="14" t="s">
        <v>3405</v>
      </c>
      <c r="C389" s="3" t="s">
        <v>395</v>
      </c>
      <c r="D389" s="3" t="str">
        <f>T("張鳴")</f>
        <v>張鳴</v>
      </c>
      <c r="E389" s="3" t="str">
        <f>T("重慶")</f>
        <v>重慶</v>
      </c>
      <c r="F389" s="3">
        <v>28</v>
      </c>
      <c r="G389" s="3">
        <v>168</v>
      </c>
    </row>
    <row r="390" spans="1:7" ht="14.25">
      <c r="A390" s="3" t="str">
        <f>T("30005041")</f>
        <v>30005041</v>
      </c>
      <c r="B390" s="14" t="s">
        <v>3408</v>
      </c>
      <c r="C390" s="3" t="s">
        <v>396</v>
      </c>
      <c r="D390" s="3">
        <f>T("")</f>
      </c>
      <c r="E390" s="3" t="str">
        <f>T("中國人大")</f>
        <v>中國人大</v>
      </c>
      <c r="F390" s="3">
        <v>55</v>
      </c>
      <c r="G390" s="3">
        <v>330</v>
      </c>
    </row>
    <row r="391" spans="1:7" ht="14.25">
      <c r="A391" s="3" t="str">
        <f>T("30005121")</f>
        <v>30005121</v>
      </c>
      <c r="B391" s="14" t="s">
        <v>3411</v>
      </c>
      <c r="C391" s="3" t="s">
        <v>397</v>
      </c>
      <c r="D391" s="3" t="str">
        <f>T("王麗麗")</f>
        <v>王麗麗</v>
      </c>
      <c r="E391" s="3" t="str">
        <f>T("中國人大")</f>
        <v>中國人大</v>
      </c>
      <c r="F391" s="3">
        <v>38</v>
      </c>
      <c r="G391" s="3">
        <v>228</v>
      </c>
    </row>
    <row r="392" spans="1:7" ht="14.25">
      <c r="A392" s="3" t="str">
        <f>T("30005683")</f>
        <v>30005683</v>
      </c>
      <c r="B392" s="14" t="s">
        <v>3414</v>
      </c>
      <c r="C392" s="3" t="s">
        <v>398</v>
      </c>
      <c r="D392" s="3" t="str">
        <f>T("李文海")</f>
        <v>李文海</v>
      </c>
      <c r="E392" s="3" t="str">
        <f>T("中國人大")</f>
        <v>中國人大</v>
      </c>
      <c r="F392" s="3">
        <v>28</v>
      </c>
      <c r="G392" s="3">
        <v>168</v>
      </c>
    </row>
    <row r="393" spans="1:7" ht="14.25">
      <c r="A393" s="3" t="str">
        <f>T("30005920")</f>
        <v>30005920</v>
      </c>
      <c r="B393" s="14" t="s">
        <v>3417</v>
      </c>
      <c r="C393" s="3" t="s">
        <v>399</v>
      </c>
      <c r="D393" s="3" t="str">
        <f>T("劉師培著")</f>
        <v>劉師培著</v>
      </c>
      <c r="E393" s="3" t="str">
        <f>T("中國人大")</f>
        <v>中國人大</v>
      </c>
      <c r="F393" s="3">
        <v>16.8</v>
      </c>
      <c r="G393" s="3">
        <v>101</v>
      </c>
    </row>
    <row r="394" spans="1:7" ht="14.25">
      <c r="A394" s="3" t="str">
        <f>T("30007057")</f>
        <v>30007057</v>
      </c>
      <c r="B394" s="14" t="s">
        <v>3420</v>
      </c>
      <c r="C394" s="3" t="s">
        <v>400</v>
      </c>
      <c r="D394" s="3">
        <f>T("")</f>
      </c>
      <c r="E394" s="3" t="str">
        <f>T("中國人大")</f>
        <v>中國人大</v>
      </c>
      <c r="F394" s="3">
        <v>58</v>
      </c>
      <c r="G394" s="3">
        <v>348</v>
      </c>
    </row>
    <row r="395" spans="1:7" ht="14.25">
      <c r="A395" s="3" t="str">
        <f>T("30007058")</f>
        <v>30007058</v>
      </c>
      <c r="B395" s="14" t="s">
        <v>3422</v>
      </c>
      <c r="C395" s="3" t="s">
        <v>401</v>
      </c>
      <c r="D395" s="3">
        <f>T("")</f>
      </c>
      <c r="E395" s="3" t="str">
        <f>T("中國人大")</f>
        <v>中國人大</v>
      </c>
      <c r="F395" s="3">
        <v>58</v>
      </c>
      <c r="G395" s="3">
        <v>348</v>
      </c>
    </row>
    <row r="396" spans="1:7" ht="14.25">
      <c r="A396" s="3" t="str">
        <f>T("30007625")</f>
        <v>30007625</v>
      </c>
      <c r="B396" s="14" t="s">
        <v>3424</v>
      </c>
      <c r="C396" s="3" t="s">
        <v>402</v>
      </c>
      <c r="D396" s="3" t="str">
        <f>T("中央電視臺《百家講壇》欄目組")</f>
        <v>中央電視臺《百家講壇》欄目組</v>
      </c>
      <c r="E396" s="3" t="str">
        <f>T("中國人大")</f>
        <v>中國人大</v>
      </c>
      <c r="F396" s="3">
        <v>16</v>
      </c>
      <c r="G396" s="3">
        <v>96</v>
      </c>
    </row>
    <row r="397" spans="1:7" ht="14.25">
      <c r="A397" s="3" t="str">
        <f>T("30007766")</f>
        <v>30007766</v>
      </c>
      <c r="B397" s="14" t="s">
        <v>3427</v>
      </c>
      <c r="C397" s="3" t="s">
        <v>403</v>
      </c>
      <c r="D397" s="3" t="str">
        <f>T("西洛塔")</f>
        <v>西洛塔</v>
      </c>
      <c r="E397" s="3" t="str">
        <f>T("中國人大")</f>
        <v>中國人大</v>
      </c>
      <c r="F397" s="3">
        <v>39</v>
      </c>
      <c r="G397" s="3">
        <v>228</v>
      </c>
    </row>
    <row r="398" spans="1:7" ht="14.25">
      <c r="A398" s="3" t="str">
        <f>T("30007895")</f>
        <v>30007895</v>
      </c>
      <c r="B398" s="14" t="s">
        <v>3430</v>
      </c>
      <c r="C398" s="3" t="s">
        <v>404</v>
      </c>
      <c r="D398" s="3" t="str">
        <f>T("葉秀山")</f>
        <v>葉秀山</v>
      </c>
      <c r="E398" s="3" t="str">
        <f>T("中國人大")</f>
        <v>中國人大</v>
      </c>
      <c r="F398" s="3">
        <v>36.8</v>
      </c>
      <c r="G398" s="3">
        <v>221</v>
      </c>
    </row>
    <row r="399" spans="1:7" ht="14.25">
      <c r="A399" s="3" t="str">
        <f>T("30008198")</f>
        <v>30008198</v>
      </c>
      <c r="B399" s="14" t="s">
        <v>3433</v>
      </c>
      <c r="C399" s="3" t="s">
        <v>405</v>
      </c>
      <c r="D399" s="3" t="str">
        <f>T("王小蘭主編")</f>
        <v>王小蘭主編</v>
      </c>
      <c r="E399" s="3" t="str">
        <f>T("中國人大")</f>
        <v>中國人大</v>
      </c>
      <c r="F399" s="3">
        <v>68</v>
      </c>
      <c r="G399" s="3">
        <v>408</v>
      </c>
    </row>
    <row r="400" spans="1:7" ht="14.25">
      <c r="A400" s="3" t="str">
        <f>T("30008199")</f>
        <v>30008199</v>
      </c>
      <c r="B400" s="14" t="s">
        <v>3436</v>
      </c>
      <c r="C400" s="3" t="s">
        <v>406</v>
      </c>
      <c r="D400" s="3" t="str">
        <f>T("王小蘭主編")</f>
        <v>王小蘭主編</v>
      </c>
      <c r="E400" s="3" t="str">
        <f>T("中國人大")</f>
        <v>中國人大</v>
      </c>
      <c r="F400" s="3">
        <v>59.8</v>
      </c>
      <c r="G400" s="3">
        <v>359</v>
      </c>
    </row>
    <row r="401" spans="1:7" ht="14.25">
      <c r="A401" s="3" t="str">
        <f>T("30009134")</f>
        <v>30009134</v>
      </c>
      <c r="B401" s="14" t="s">
        <v>3438</v>
      </c>
      <c r="C401" s="3" t="s">
        <v>407</v>
      </c>
      <c r="D401" s="3" t="str">
        <f>T("冷成金")</f>
        <v>冷成金</v>
      </c>
      <c r="E401" s="3" t="str">
        <f>T("人民大學")</f>
        <v>人民大學</v>
      </c>
      <c r="F401" s="3">
        <v>38</v>
      </c>
      <c r="G401" s="3">
        <v>228</v>
      </c>
    </row>
    <row r="402" spans="1:7" ht="14.25">
      <c r="A402" s="3" t="str">
        <f>T("30009194")</f>
        <v>30009194</v>
      </c>
      <c r="B402" s="14" t="s">
        <v>3442</v>
      </c>
      <c r="C402" s="3" t="s">
        <v>408</v>
      </c>
      <c r="D402" s="3" t="str">
        <f>T("塗鵬")</f>
        <v>塗鵬</v>
      </c>
      <c r="E402" s="3" t="str">
        <f>T("人民大學")</f>
        <v>人民大學</v>
      </c>
      <c r="F402" s="3">
        <v>39.8</v>
      </c>
      <c r="G402" s="3">
        <v>239</v>
      </c>
    </row>
    <row r="403" spans="1:7" ht="14.25">
      <c r="A403" s="3" t="str">
        <f>T("30009195")</f>
        <v>30009195</v>
      </c>
      <c r="B403" s="14" t="s">
        <v>3445</v>
      </c>
      <c r="C403" s="3" t="s">
        <v>409</v>
      </c>
      <c r="D403" s="3" t="str">
        <f>T("陳志春主編")</f>
        <v>陳志春主編</v>
      </c>
      <c r="E403" s="3" t="str">
        <f>T("中國人大")</f>
        <v>中國人大</v>
      </c>
      <c r="F403" s="3">
        <v>58</v>
      </c>
      <c r="G403" s="3">
        <v>348</v>
      </c>
    </row>
    <row r="404" spans="1:7" ht="14.25">
      <c r="A404" s="3" t="str">
        <f>T("30009259")</f>
        <v>30009259</v>
      </c>
      <c r="B404" s="14" t="s">
        <v>3448</v>
      </c>
      <c r="C404" s="3" t="s">
        <v>410</v>
      </c>
      <c r="D404" s="3" t="str">
        <f>T("康震")</f>
        <v>康震</v>
      </c>
      <c r="E404" s="3" t="str">
        <f>T("人民大學")</f>
        <v>人民大學</v>
      </c>
      <c r="F404" s="3">
        <v>49</v>
      </c>
      <c r="G404" s="3">
        <v>294</v>
      </c>
    </row>
    <row r="405" spans="1:7" ht="14.25">
      <c r="A405" s="3" t="str">
        <f>T("30009652")</f>
        <v>30009652</v>
      </c>
      <c r="B405" s="14" t="s">
        <v>3451</v>
      </c>
      <c r="C405" s="3" t="s">
        <v>411</v>
      </c>
      <c r="D405" s="3" t="str">
        <f>T("黃克劍")</f>
        <v>黃克劍</v>
      </c>
      <c r="E405" s="3" t="str">
        <f>T("人民大學")</f>
        <v>人民大學</v>
      </c>
      <c r="F405" s="3">
        <v>49</v>
      </c>
      <c r="G405" s="3">
        <v>294</v>
      </c>
    </row>
    <row r="406" spans="1:7" ht="14.25">
      <c r="A406" s="3" t="str">
        <f>T("30009849")</f>
        <v>30009849</v>
      </c>
      <c r="B406" s="14" t="s">
        <v>3454</v>
      </c>
      <c r="C406" s="3" t="s">
        <v>412</v>
      </c>
      <c r="D406" s="3" t="str">
        <f>T("王大慶")</f>
        <v>王大慶</v>
      </c>
      <c r="E406" s="3" t="str">
        <f>T("中國人大")</f>
        <v>中國人大</v>
      </c>
      <c r="F406" s="3">
        <v>27</v>
      </c>
      <c r="G406" s="3">
        <v>162</v>
      </c>
    </row>
    <row r="407" spans="1:7" ht="14.25">
      <c r="A407" s="3" t="str">
        <f>T("30010081")</f>
        <v>30010081</v>
      </c>
      <c r="B407" s="14" t="s">
        <v>3457</v>
      </c>
      <c r="C407" s="3" t="s">
        <v>413</v>
      </c>
      <c r="D407" s="3" t="str">
        <f>T("範增")</f>
        <v>範增</v>
      </c>
      <c r="E407" s="3" t="str">
        <f>T("人民大學")</f>
        <v>人民大學</v>
      </c>
      <c r="F407" s="3">
        <v>49.8</v>
      </c>
      <c r="G407" s="3">
        <v>299</v>
      </c>
    </row>
    <row r="408" spans="1:7" ht="14.25">
      <c r="A408" s="3" t="str">
        <f>T("30010113")</f>
        <v>30010113</v>
      </c>
      <c r="B408" s="14" t="s">
        <v>3460</v>
      </c>
      <c r="C408" s="3" t="s">
        <v>414</v>
      </c>
      <c r="D408" s="3" t="str">
        <f>T("羅伯特")</f>
        <v>羅伯特</v>
      </c>
      <c r="E408" s="3" t="str">
        <f>T("人民大學")</f>
        <v>人民大學</v>
      </c>
      <c r="F408" s="3">
        <v>39.8</v>
      </c>
      <c r="G408" s="3">
        <v>239</v>
      </c>
    </row>
    <row r="409" spans="1:7" ht="14.25">
      <c r="A409" s="3" t="str">
        <f>T("30010122")</f>
        <v>30010122</v>
      </c>
      <c r="B409" s="14" t="s">
        <v>3463</v>
      </c>
      <c r="C409" s="3" t="s">
        <v>415</v>
      </c>
      <c r="D409" s="3" t="str">
        <f>T("千春松")</f>
        <v>千春松</v>
      </c>
      <c r="E409" s="3" t="str">
        <f>T("中國人大")</f>
        <v>中國人大</v>
      </c>
      <c r="F409" s="3">
        <v>36</v>
      </c>
      <c r="G409" s="3">
        <v>216</v>
      </c>
    </row>
    <row r="410" spans="1:7" ht="14.25">
      <c r="A410" s="3" t="str">
        <f>T("30010203")</f>
        <v>30010203</v>
      </c>
      <c r="B410" s="14" t="s">
        <v>3466</v>
      </c>
      <c r="C410" s="3" t="s">
        <v>416</v>
      </c>
      <c r="D410" s="3" t="str">
        <f>T("蔡鍾翔 黃保真 成複旺")</f>
        <v>蔡鍾翔 黃保真 成複旺</v>
      </c>
      <c r="E410" s="3" t="str">
        <f>T("人民大學")</f>
        <v>人民大學</v>
      </c>
      <c r="F410" s="3">
        <v>26</v>
      </c>
      <c r="G410" s="3">
        <v>156</v>
      </c>
    </row>
    <row r="411" spans="1:7" ht="14.25">
      <c r="A411" s="3" t="str">
        <f>T("30010204")</f>
        <v>30010204</v>
      </c>
      <c r="B411" s="14" t="s">
        <v>3469</v>
      </c>
      <c r="C411" s="3" t="s">
        <v>417</v>
      </c>
      <c r="D411" s="3" t="str">
        <f>T("成複旺 黃保真 蔡鍾翔")</f>
        <v>成複旺 黃保真 蔡鍾翔</v>
      </c>
      <c r="E411" s="3" t="str">
        <f>T("人民大學")</f>
        <v>人民大學</v>
      </c>
      <c r="F411" s="3">
        <v>38</v>
      </c>
      <c r="G411" s="3">
        <v>228</v>
      </c>
    </row>
    <row r="412" spans="1:7" ht="14.25">
      <c r="A412" s="3" t="str">
        <f>T("30010205")</f>
        <v>30010205</v>
      </c>
      <c r="B412" s="14" t="s">
        <v>3472</v>
      </c>
      <c r="C412" s="3" t="s">
        <v>418</v>
      </c>
      <c r="D412" s="3" t="str">
        <f>T("成複旺 蔡鍾翔 黃保真")</f>
        <v>成複旺 蔡鍾翔 黃保真</v>
      </c>
      <c r="E412" s="3" t="str">
        <f>T("人民大學")</f>
        <v>人民大學</v>
      </c>
      <c r="F412" s="3">
        <v>28</v>
      </c>
      <c r="G412" s="3">
        <v>168</v>
      </c>
    </row>
    <row r="413" spans="1:7" ht="14.25">
      <c r="A413" s="3" t="str">
        <f>T("30010247")</f>
        <v>30010247</v>
      </c>
      <c r="B413" s="14" t="s">
        <v>3475</v>
      </c>
      <c r="C413" s="3" t="s">
        <v>419</v>
      </c>
      <c r="D413" s="3" t="str">
        <f>T("黃保真 成複旺 蔡鍾翔")</f>
        <v>黃保真 成複旺 蔡鍾翔</v>
      </c>
      <c r="E413" s="3" t="str">
        <f>T("人民大學")</f>
        <v>人民大學</v>
      </c>
      <c r="F413" s="3">
        <v>28</v>
      </c>
      <c r="G413" s="3">
        <v>168</v>
      </c>
    </row>
    <row r="414" spans="1:7" ht="14.25">
      <c r="A414" s="3" t="str">
        <f>T("30010298")</f>
        <v>30010298</v>
      </c>
      <c r="B414" s="14" t="s">
        <v>3478</v>
      </c>
      <c r="C414" s="3" t="s">
        <v>420</v>
      </c>
      <c r="D414" s="3" t="str">
        <f>T("黃保真 蔡鍾翔 成複旺")</f>
        <v>黃保真 蔡鍾翔 成複旺</v>
      </c>
      <c r="E414" s="3" t="str">
        <f>T("人民大學")</f>
        <v>人民大學</v>
      </c>
      <c r="F414" s="3">
        <v>48</v>
      </c>
      <c r="G414" s="3">
        <v>288</v>
      </c>
    </row>
    <row r="415" spans="1:7" ht="14.25">
      <c r="A415" s="3" t="str">
        <f>T("30010365")</f>
        <v>30010365</v>
      </c>
      <c r="B415" s="14" t="s">
        <v>3481</v>
      </c>
      <c r="C415" s="3" t="s">
        <v>421</v>
      </c>
      <c r="D415" s="3" t="str">
        <f>T("羅安憲")</f>
        <v>羅安憲</v>
      </c>
      <c r="E415" s="3" t="str">
        <f>T("人民大學")</f>
        <v>人民大學</v>
      </c>
      <c r="F415" s="3">
        <v>39</v>
      </c>
      <c r="G415" s="3">
        <v>234</v>
      </c>
    </row>
    <row r="416" spans="1:7" ht="14.25">
      <c r="A416" s="3" t="str">
        <f>T("30010379")</f>
        <v>30010379</v>
      </c>
      <c r="B416" s="14" t="s">
        <v>3484</v>
      </c>
      <c r="C416" s="3" t="s">
        <v>422</v>
      </c>
      <c r="D416" s="3" t="str">
        <f>T("孫家洲 劉後濱")</f>
        <v>孫家洲 劉後濱</v>
      </c>
      <c r="E416" s="3" t="str">
        <f>T("人民大學")</f>
        <v>人民大學</v>
      </c>
      <c r="F416" s="3">
        <v>59</v>
      </c>
      <c r="G416" s="3">
        <v>354</v>
      </c>
    </row>
    <row r="417" spans="1:7" ht="14.25">
      <c r="A417" s="3" t="str">
        <f>T("30010508")</f>
        <v>30010508</v>
      </c>
      <c r="B417" s="14" t="s">
        <v>3487</v>
      </c>
      <c r="C417" s="3" t="s">
        <v>423</v>
      </c>
      <c r="D417" s="3" t="str">
        <f>T("魏常海")</f>
        <v>魏常海</v>
      </c>
      <c r="E417" s="3" t="str">
        <f>T("人民大學")</f>
        <v>人民大學</v>
      </c>
      <c r="F417" s="3">
        <v>52</v>
      </c>
      <c r="G417" s="3">
        <v>312</v>
      </c>
    </row>
    <row r="418" spans="1:7" ht="14.25">
      <c r="A418" s="3" t="str">
        <f>T("30010864")</f>
        <v>30010864</v>
      </c>
      <c r="B418" s="14" t="s">
        <v>3490</v>
      </c>
      <c r="C418" s="3" t="s">
        <v>424</v>
      </c>
      <c r="D418" s="3" t="str">
        <f>T("阿簡")</f>
        <v>阿簡</v>
      </c>
      <c r="E418" s="3" t="str">
        <f>T("中國人大")</f>
        <v>中國人大</v>
      </c>
      <c r="F418" s="3">
        <v>29.8</v>
      </c>
      <c r="G418" s="3">
        <v>179</v>
      </c>
    </row>
    <row r="419" spans="1:7" ht="14.25">
      <c r="A419" s="3" t="str">
        <f>T("30011028")</f>
        <v>30011028</v>
      </c>
      <c r="B419" s="14" t="s">
        <v>3493</v>
      </c>
      <c r="C419" s="3" t="s">
        <v>425</v>
      </c>
      <c r="D419" s="3" t="str">
        <f>T("侯宜傑")</f>
        <v>侯宜傑</v>
      </c>
      <c r="E419" s="3" t="str">
        <f>T("中國人大")</f>
        <v>中國人大</v>
      </c>
      <c r="F419" s="3">
        <v>48</v>
      </c>
      <c r="G419" s="3">
        <v>288</v>
      </c>
    </row>
    <row r="420" spans="1:7" ht="14.25">
      <c r="A420" s="3" t="str">
        <f>T("30011351")</f>
        <v>30011351</v>
      </c>
      <c r="B420" s="14" t="s">
        <v>3496</v>
      </c>
      <c r="C420" s="3" t="s">
        <v>426</v>
      </c>
      <c r="D420" s="3" t="str">
        <f>T("南帆")</f>
        <v>南帆</v>
      </c>
      <c r="E420" s="3" t="str">
        <f>T("中國人大")</f>
        <v>中國人大</v>
      </c>
      <c r="F420" s="3">
        <v>39.8</v>
      </c>
      <c r="G420" s="3">
        <v>239</v>
      </c>
    </row>
    <row r="421" spans="1:7" ht="14.25">
      <c r="A421" s="3" t="str">
        <f>T("30011353")</f>
        <v>30011353</v>
      </c>
      <c r="B421" s="14" t="s">
        <v>3498</v>
      </c>
      <c r="C421" s="3" t="s">
        <v>427</v>
      </c>
      <c r="D421" s="3" t="str">
        <f>T("謝冕")</f>
        <v>謝冕</v>
      </c>
      <c r="E421" s="3" t="str">
        <f>T("中國人大")</f>
        <v>中國人大</v>
      </c>
      <c r="F421" s="3">
        <v>36</v>
      </c>
      <c r="G421" s="3">
        <v>216</v>
      </c>
    </row>
    <row r="422" spans="1:7" ht="14.25">
      <c r="A422" s="3" t="str">
        <f>T("30011355")</f>
        <v>30011355</v>
      </c>
      <c r="B422" s="14" t="s">
        <v>3501</v>
      </c>
      <c r="C422" s="3" t="s">
        <v>428</v>
      </c>
      <c r="D422" s="3" t="str">
        <f>T("謝冕")</f>
        <v>謝冕</v>
      </c>
      <c r="E422" s="3" t="str">
        <f>T("中國人大")</f>
        <v>中國人大</v>
      </c>
      <c r="F422" s="3">
        <v>32</v>
      </c>
      <c r="G422" s="3">
        <v>192</v>
      </c>
    </row>
    <row r="423" spans="1:7" ht="14.25">
      <c r="A423" s="3" t="str">
        <f>T("30011357")</f>
        <v>30011357</v>
      </c>
      <c r="B423" s="14" t="s">
        <v>3503</v>
      </c>
      <c r="C423" s="3" t="s">
        <v>429</v>
      </c>
      <c r="D423" s="3" t="str">
        <f>T("劉納. 著")</f>
        <v>劉納. 著</v>
      </c>
      <c r="E423" s="3" t="str">
        <f>T("人民大學")</f>
        <v>人民大學</v>
      </c>
      <c r="F423" s="3">
        <v>48</v>
      </c>
      <c r="G423" s="3">
        <v>288</v>
      </c>
    </row>
    <row r="424" spans="1:7" ht="14.25">
      <c r="A424" s="3" t="str">
        <f>T("30011457")</f>
        <v>30011457</v>
      </c>
      <c r="B424" s="14" t="s">
        <v>3506</v>
      </c>
      <c r="C424" s="3" t="s">
        <v>430</v>
      </c>
      <c r="D424" s="3" t="str">
        <f>T("喻中")</f>
        <v>喻中</v>
      </c>
      <c r="E424" s="3" t="str">
        <f>T("中國人大")</f>
        <v>中國人大</v>
      </c>
      <c r="F424" s="3">
        <v>25</v>
      </c>
      <c r="G424" s="3">
        <v>150</v>
      </c>
    </row>
    <row r="425" spans="1:7" ht="14.25">
      <c r="A425" s="3" t="str">
        <f>T("30011993")</f>
        <v>30011993</v>
      </c>
      <c r="B425" s="14" t="s">
        <v>3509</v>
      </c>
      <c r="C425" s="3" t="s">
        <v>431</v>
      </c>
      <c r="D425" s="3" t="str">
        <f>T("袁濟喜. 陳建農. 編著")</f>
        <v>袁濟喜. 陳建農. 編著</v>
      </c>
      <c r="E425" s="3" t="str">
        <f>T("人民大學")</f>
        <v>人民大學</v>
      </c>
      <c r="F425" s="3">
        <v>39.8</v>
      </c>
      <c r="G425" s="3">
        <v>239</v>
      </c>
    </row>
    <row r="426" spans="1:7" ht="14.25">
      <c r="A426" s="3" t="str">
        <f>T("30013619")</f>
        <v>30013619</v>
      </c>
      <c r="B426" s="14" t="s">
        <v>3512</v>
      </c>
      <c r="C426" s="3" t="s">
        <v>432</v>
      </c>
      <c r="D426" s="3" t="str">
        <f>T("謝無量著")</f>
        <v>謝無量著</v>
      </c>
      <c r="E426" s="3" t="str">
        <f>T("人民大學")</f>
        <v>人民大學</v>
      </c>
      <c r="F426" s="3">
        <v>108</v>
      </c>
      <c r="G426" s="3">
        <v>648</v>
      </c>
    </row>
    <row r="427" spans="1:7" ht="14.25">
      <c r="A427" s="3" t="str">
        <f>T("30013650")</f>
        <v>30013650</v>
      </c>
      <c r="B427" s="14" t="s">
        <v>3515</v>
      </c>
      <c r="C427" s="3" t="s">
        <v>433</v>
      </c>
      <c r="D427" s="3" t="str">
        <f>T("謝無量著")</f>
        <v>謝無量著</v>
      </c>
      <c r="E427" s="3" t="str">
        <f>T("人民大學")</f>
        <v>人民大學</v>
      </c>
      <c r="F427" s="3">
        <v>148</v>
      </c>
      <c r="G427" s="3">
        <v>888</v>
      </c>
    </row>
    <row r="428" spans="1:7" ht="14.25">
      <c r="A428" s="3" t="str">
        <f>T("30013651")</f>
        <v>30013651</v>
      </c>
      <c r="B428" s="14" t="s">
        <v>2236</v>
      </c>
      <c r="C428" s="3" t="s">
        <v>434</v>
      </c>
      <c r="D428" s="3" t="str">
        <f>T("謝無量")</f>
        <v>謝無量</v>
      </c>
      <c r="E428" s="3" t="str">
        <f>T("人民")</f>
        <v>人民</v>
      </c>
      <c r="F428" s="3">
        <v>88</v>
      </c>
      <c r="G428" s="3">
        <v>528</v>
      </c>
    </row>
    <row r="429" spans="1:7" ht="14.25">
      <c r="A429" s="3" t="str">
        <f>T("30013652")</f>
        <v>30013652</v>
      </c>
      <c r="B429" s="14" t="s">
        <v>3519</v>
      </c>
      <c r="C429" s="3" t="s">
        <v>435</v>
      </c>
      <c r="D429" s="3" t="str">
        <f>T("謝無量著")</f>
        <v>謝無量著</v>
      </c>
      <c r="E429" s="3" t="str">
        <f>T("人民大學")</f>
        <v>人民大學</v>
      </c>
      <c r="F429" s="3">
        <v>98</v>
      </c>
      <c r="G429" s="3">
        <v>588</v>
      </c>
    </row>
    <row r="430" spans="1:7" ht="14.25">
      <c r="A430" s="3" t="str">
        <f>T("30101498")</f>
        <v>30101498</v>
      </c>
      <c r="B430" s="14" t="s">
        <v>3521</v>
      </c>
      <c r="C430" s="3" t="s">
        <v>436</v>
      </c>
      <c r="D430" s="3" t="str">
        <f>T(".")</f>
        <v>.</v>
      </c>
      <c r="E430" s="3" t="str">
        <f>T("北京大學")</f>
        <v>北京大學</v>
      </c>
      <c r="F430" s="3">
        <v>40</v>
      </c>
      <c r="G430" s="3">
        <v>240</v>
      </c>
    </row>
    <row r="431" spans="1:7" ht="14.25">
      <c r="A431" s="3" t="str">
        <f>T("30102516")</f>
        <v>30102516</v>
      </c>
      <c r="B431" s="14" t="s">
        <v>3524</v>
      </c>
      <c r="C431" s="3" t="s">
        <v>437</v>
      </c>
      <c r="D431" s="3" t="str">
        <f>T("北京大學文獻研究所編")</f>
        <v>北京大學文獻研究所編</v>
      </c>
      <c r="E431" s="3" t="str">
        <f>T("北京大學")</f>
        <v>北京大學</v>
      </c>
      <c r="F431" s="3">
        <v>40</v>
      </c>
      <c r="G431" s="3">
        <v>240</v>
      </c>
    </row>
    <row r="432" spans="1:7" ht="14.25">
      <c r="A432" s="3" t="str">
        <f>T("30102522")</f>
        <v>30102522</v>
      </c>
      <c r="B432" s="14" t="s">
        <v>3527</v>
      </c>
      <c r="C432" s="3" t="s">
        <v>438</v>
      </c>
      <c r="D432" s="3" t="str">
        <f>T("北京大學古文獻研究所編")</f>
        <v>北京大學古文獻研究所編</v>
      </c>
      <c r="E432" s="3" t="str">
        <f>T("北京大學")</f>
        <v>北京大學</v>
      </c>
      <c r="F432" s="3">
        <v>40</v>
      </c>
      <c r="G432" s="3">
        <v>240</v>
      </c>
    </row>
    <row r="433" spans="1:7" ht="14.25">
      <c r="A433" s="3" t="str">
        <f>T("30102523")</f>
        <v>30102523</v>
      </c>
      <c r="B433" s="14" t="s">
        <v>3530</v>
      </c>
      <c r="C433" s="3" t="s">
        <v>439</v>
      </c>
      <c r="D433" s="3" t="str">
        <f>T(".")</f>
        <v>.</v>
      </c>
      <c r="E433" s="3" t="str">
        <f>T("北京大學")</f>
        <v>北京大學</v>
      </c>
      <c r="F433" s="3">
        <v>40</v>
      </c>
      <c r="G433" s="3">
        <v>240</v>
      </c>
    </row>
    <row r="434" spans="1:7" ht="14.25">
      <c r="A434" s="3" t="str">
        <f>T("30102524")</f>
        <v>30102524</v>
      </c>
      <c r="B434" s="14" t="s">
        <v>3532</v>
      </c>
      <c r="C434" s="3" t="s">
        <v>440</v>
      </c>
      <c r="D434" s="3" t="str">
        <f>T("北京大學文獻研究所編")</f>
        <v>北京大學文獻研究所編</v>
      </c>
      <c r="E434" s="3" t="str">
        <f>T("北京大學")</f>
        <v>北京大學</v>
      </c>
      <c r="F434" s="3">
        <v>40</v>
      </c>
      <c r="G434" s="3">
        <v>240</v>
      </c>
    </row>
    <row r="435" spans="1:7" ht="14.25">
      <c r="A435" s="3" t="str">
        <f>T("30102525")</f>
        <v>30102525</v>
      </c>
      <c r="B435" s="14" t="s">
        <v>3534</v>
      </c>
      <c r="C435" s="3" t="s">
        <v>441</v>
      </c>
      <c r="D435" s="3" t="str">
        <f>T(".")</f>
        <v>.</v>
      </c>
      <c r="E435" s="3" t="str">
        <f>T("北京大學")</f>
        <v>北京大學</v>
      </c>
      <c r="F435" s="3">
        <v>40</v>
      </c>
      <c r="G435" s="3">
        <v>240</v>
      </c>
    </row>
    <row r="436" spans="1:7" ht="14.25">
      <c r="A436" s="3" t="str">
        <f>T("30103225")</f>
        <v>30103225</v>
      </c>
      <c r="B436" s="14" t="s">
        <v>3536</v>
      </c>
      <c r="C436" s="3" t="s">
        <v>442</v>
      </c>
      <c r="D436" s="3" t="str">
        <f>T("何綿山")</f>
        <v>何綿山</v>
      </c>
      <c r="E436" s="3" t="str">
        <f>T("北京大學")</f>
        <v>北京大學</v>
      </c>
      <c r="F436" s="3">
        <v>20</v>
      </c>
      <c r="G436" s="3">
        <v>120</v>
      </c>
    </row>
    <row r="437" spans="1:7" ht="14.25">
      <c r="A437" s="3" t="str">
        <f>T("30105339")</f>
        <v>30105339</v>
      </c>
      <c r="B437" s="14" t="s">
        <v>3539</v>
      </c>
      <c r="C437" s="3" t="s">
        <v>443</v>
      </c>
      <c r="D437" s="3" t="str">
        <f>T("錢理群")</f>
        <v>錢理群</v>
      </c>
      <c r="E437" s="3" t="str">
        <f>T("北京大學")</f>
        <v>北京大學</v>
      </c>
      <c r="F437" s="3">
        <v>32</v>
      </c>
      <c r="G437" s="3">
        <v>192</v>
      </c>
    </row>
    <row r="438" spans="1:7" ht="14.25">
      <c r="A438" s="3" t="str">
        <f>T("30106043")</f>
        <v>30106043</v>
      </c>
      <c r="B438" s="14" t="s">
        <v>3542</v>
      </c>
      <c r="C438" s="3" t="s">
        <v>444</v>
      </c>
      <c r="D438" s="3" t="str">
        <f>T("范伯群")</f>
        <v>范伯群</v>
      </c>
      <c r="E438" s="3" t="str">
        <f>T("北京大學")</f>
        <v>北京大學</v>
      </c>
      <c r="F438" s="3">
        <v>28</v>
      </c>
      <c r="G438" s="3">
        <v>210</v>
      </c>
    </row>
    <row r="439" spans="1:7" ht="14.25">
      <c r="A439" s="3" t="str">
        <f>T("30106431")</f>
        <v>30106431</v>
      </c>
      <c r="B439" s="14" t="s">
        <v>3545</v>
      </c>
      <c r="C439" s="3" t="s">
        <v>445</v>
      </c>
      <c r="D439" s="3" t="str">
        <f>T("淩繼堯")</f>
        <v>淩繼堯</v>
      </c>
      <c r="E439" s="3" t="str">
        <f>T("北京大學")</f>
        <v>北京大學</v>
      </c>
      <c r="F439" s="3">
        <v>25</v>
      </c>
      <c r="G439" s="3">
        <v>210</v>
      </c>
    </row>
    <row r="440" spans="1:7" ht="14.25">
      <c r="A440" s="3" t="str">
        <f>T("30106481")</f>
        <v>30106481</v>
      </c>
      <c r="B440" s="14" t="s">
        <v>3548</v>
      </c>
      <c r="C440" s="3" t="s">
        <v>446</v>
      </c>
      <c r="D440" s="3" t="str">
        <f>T("燕繼榮")</f>
        <v>燕繼榮</v>
      </c>
      <c r="E440" s="3" t="str">
        <f>T("北京大學")</f>
        <v>北京大學</v>
      </c>
      <c r="F440" s="3">
        <v>27</v>
      </c>
      <c r="G440" s="3">
        <v>162</v>
      </c>
    </row>
    <row r="441" spans="1:7" ht="14.25">
      <c r="A441" s="3" t="str">
        <f>T("30107983")</f>
        <v>30107983</v>
      </c>
      <c r="B441" s="14" t="s">
        <v>3551</v>
      </c>
      <c r="C441" s="3" t="s">
        <v>447</v>
      </c>
      <c r="D441" s="3" t="str">
        <f>T("喬以鋼")</f>
        <v>喬以鋼</v>
      </c>
      <c r="E441" s="3" t="str">
        <f>T("北京大學")</f>
        <v>北京大學</v>
      </c>
      <c r="F441" s="3">
        <v>20</v>
      </c>
      <c r="G441" s="3">
        <v>120</v>
      </c>
    </row>
    <row r="442" spans="1:7" ht="14.25">
      <c r="A442" s="3" t="str">
        <f>T("30108424")</f>
        <v>30108424</v>
      </c>
      <c r="B442" s="14" t="s">
        <v>3554</v>
      </c>
      <c r="C442" s="3" t="s">
        <v>448</v>
      </c>
      <c r="D442" s="3" t="str">
        <f>T("林佳莉")</f>
        <v>林佳莉</v>
      </c>
      <c r="E442" s="3" t="str">
        <f>T("北京大學")</f>
        <v>北京大學</v>
      </c>
      <c r="F442" s="3">
        <v>40</v>
      </c>
      <c r="G442" s="3">
        <v>240</v>
      </c>
    </row>
    <row r="443" spans="1:7" ht="14.25">
      <c r="A443" s="3" t="str">
        <f>T("30109707")</f>
        <v>30109707</v>
      </c>
      <c r="B443" s="14" t="s">
        <v>3557</v>
      </c>
      <c r="C443" s="3" t="s">
        <v>449</v>
      </c>
      <c r="D443" s="3" t="str">
        <f>T("北京大學中國詩歌研究院")</f>
        <v>北京大學中國詩歌研究院</v>
      </c>
      <c r="E443" s="3" t="str">
        <f>T("北京大學")</f>
        <v>北京大學</v>
      </c>
      <c r="F443" s="3">
        <v>38</v>
      </c>
      <c r="G443" s="3">
        <v>228</v>
      </c>
    </row>
    <row r="444" spans="1:7" ht="14.25">
      <c r="A444" s="3" t="str">
        <f>T("30110181")</f>
        <v>30110181</v>
      </c>
      <c r="B444" s="14" t="s">
        <v>3560</v>
      </c>
      <c r="C444" s="3" t="s">
        <v>450</v>
      </c>
      <c r="D444" s="3" t="str">
        <f>T("傅書華")</f>
        <v>傅書華</v>
      </c>
      <c r="E444" s="3" t="str">
        <f>T("北京大學")</f>
        <v>北京大學</v>
      </c>
      <c r="F444" s="3">
        <v>19.8</v>
      </c>
      <c r="G444" s="3">
        <v>119</v>
      </c>
    </row>
    <row r="445" spans="1:7" ht="14.25">
      <c r="A445" s="3" t="str">
        <f>T("30110815")</f>
        <v>30110815</v>
      </c>
      <c r="B445" s="14" t="s">
        <v>3563</v>
      </c>
      <c r="C445" s="3" t="s">
        <v>451</v>
      </c>
      <c r="D445" s="3" t="str">
        <f>T("付遙")</f>
        <v>付遙</v>
      </c>
      <c r="E445" s="3" t="str">
        <f>T("北京大學")</f>
        <v>北京大學</v>
      </c>
      <c r="F445" s="3">
        <v>36</v>
      </c>
      <c r="G445" s="3">
        <v>216</v>
      </c>
    </row>
    <row r="446" spans="1:7" ht="14.25">
      <c r="A446" s="3" t="str">
        <f>T("30110841")</f>
        <v>30110841</v>
      </c>
      <c r="B446" s="14" t="s">
        <v>3566</v>
      </c>
      <c r="C446" s="3" t="s">
        <v>452</v>
      </c>
      <c r="D446" s="3" t="str">
        <f>T("陳平原")</f>
        <v>陳平原</v>
      </c>
      <c r="E446" s="3" t="str">
        <f>T("北京大學")</f>
        <v>北京大學</v>
      </c>
      <c r="F446" s="3">
        <v>32</v>
      </c>
      <c r="G446" s="3">
        <v>192</v>
      </c>
    </row>
    <row r="447" spans="1:7" ht="14.25">
      <c r="A447" s="3" t="str">
        <f>T("30110847")</f>
        <v>30110847</v>
      </c>
      <c r="B447" s="14" t="s">
        <v>3569</v>
      </c>
      <c r="C447" s="3" t="s">
        <v>453</v>
      </c>
      <c r="D447" s="3" t="str">
        <f>T("王一方")</f>
        <v>王一方</v>
      </c>
      <c r="E447" s="3" t="str">
        <f>T("北京大學")</f>
        <v>北京大學</v>
      </c>
      <c r="F447" s="3">
        <v>22</v>
      </c>
      <c r="G447" s="3">
        <v>132</v>
      </c>
    </row>
    <row r="448" spans="1:7" ht="14.25">
      <c r="A448" s="3" t="str">
        <f>T("30111093")</f>
        <v>30111093</v>
      </c>
      <c r="B448" s="14" t="s">
        <v>3572</v>
      </c>
      <c r="C448" s="3" t="s">
        <v>454</v>
      </c>
      <c r="D448" s="3" t="str">
        <f>T("羅維")</f>
        <v>羅維</v>
      </c>
      <c r="E448" s="3" t="str">
        <f>T("北京大學")</f>
        <v>北京大學</v>
      </c>
      <c r="F448" s="3">
        <v>22</v>
      </c>
      <c r="G448" s="3">
        <v>132</v>
      </c>
    </row>
    <row r="449" spans="1:7" ht="14.25">
      <c r="A449" s="3" t="str">
        <f>T("30111097")</f>
        <v>30111097</v>
      </c>
      <c r="B449" s="14" t="s">
        <v>3575</v>
      </c>
      <c r="C449" s="3" t="s">
        <v>455</v>
      </c>
      <c r="D449" s="3" t="str">
        <f>T("蒙培元")</f>
        <v>蒙培元</v>
      </c>
      <c r="E449" s="3" t="str">
        <f>T("北京大學")</f>
        <v>北京大學</v>
      </c>
      <c r="F449" s="3">
        <v>20</v>
      </c>
      <c r="G449" s="3">
        <v>120</v>
      </c>
    </row>
    <row r="450" spans="1:7" ht="14.25">
      <c r="A450" s="3" t="str">
        <f>T("30111177")</f>
        <v>30111177</v>
      </c>
      <c r="B450" s="14" t="s">
        <v>3578</v>
      </c>
      <c r="C450" s="3" t="s">
        <v>456</v>
      </c>
      <c r="D450" s="3" t="str">
        <f>T("王作全")</f>
        <v>王作全</v>
      </c>
      <c r="E450" s="3" t="str">
        <f>T("北京大學")</f>
        <v>北京大學</v>
      </c>
      <c r="F450" s="3">
        <v>21</v>
      </c>
      <c r="G450" s="3">
        <v>126</v>
      </c>
    </row>
    <row r="451" spans="1:7" ht="14.25">
      <c r="A451" s="3" t="str">
        <f>T("30111284")</f>
        <v>30111284</v>
      </c>
      <c r="B451" s="14" t="s">
        <v>3581</v>
      </c>
      <c r="C451" s="3" t="s">
        <v>457</v>
      </c>
      <c r="D451" s="3" t="str">
        <f>T("北京大學歷史地理研究中心編")</f>
        <v>北京大學歷史地理研究中心編</v>
      </c>
      <c r="E451" s="3" t="str">
        <f>T("北京大學")</f>
        <v>北京大學</v>
      </c>
      <c r="F451" s="3">
        <v>99</v>
      </c>
      <c r="G451" s="3">
        <v>594</v>
      </c>
    </row>
    <row r="452" spans="1:7" ht="14.25">
      <c r="A452" s="3" t="str">
        <f>T("30111362")</f>
        <v>30111362</v>
      </c>
      <c r="B452" s="14" t="s">
        <v>3584</v>
      </c>
      <c r="C452" s="3" t="s">
        <v>458</v>
      </c>
      <c r="D452" s="3" t="str">
        <f>T("黃梅")</f>
        <v>黃梅</v>
      </c>
      <c r="E452" s="3" t="str">
        <f>T("北京大學")</f>
        <v>北京大學</v>
      </c>
      <c r="F452" s="3">
        <v>32</v>
      </c>
      <c r="G452" s="3">
        <v>192</v>
      </c>
    </row>
    <row r="453" spans="1:7" ht="14.25">
      <c r="A453" s="3" t="str">
        <f>T("30111364")</f>
        <v>30111364</v>
      </c>
      <c r="B453" s="14" t="s">
        <v>3587</v>
      </c>
      <c r="C453" s="3" t="s">
        <v>459</v>
      </c>
      <c r="D453" s="3" t="str">
        <f>T("史密斯")</f>
        <v>史密斯</v>
      </c>
      <c r="E453" s="3" t="str">
        <f>T("北京大學")</f>
        <v>北京大學</v>
      </c>
      <c r="F453" s="3">
        <v>20</v>
      </c>
      <c r="G453" s="3">
        <v>120</v>
      </c>
    </row>
    <row r="454" spans="1:7" ht="14.25">
      <c r="A454" s="3" t="str">
        <f>T("30111366")</f>
        <v>30111366</v>
      </c>
      <c r="B454" s="14" t="s">
        <v>3590</v>
      </c>
      <c r="C454" s="3" t="s">
        <v>460</v>
      </c>
      <c r="D454" s="3" t="str">
        <f>T("倫特恰瓦")</f>
        <v>倫特恰瓦</v>
      </c>
      <c r="E454" s="3" t="str">
        <f>T("北京大學")</f>
        <v>北京大學</v>
      </c>
      <c r="F454" s="3">
        <v>20</v>
      </c>
      <c r="G454" s="3">
        <v>120</v>
      </c>
    </row>
    <row r="455" spans="1:7" ht="14.25">
      <c r="A455" s="3" t="str">
        <f>T("30111378")</f>
        <v>30111378</v>
      </c>
      <c r="B455" s="14" t="s">
        <v>3593</v>
      </c>
      <c r="C455" s="3" t="s">
        <v>461</v>
      </c>
      <c r="D455" s="3" t="str">
        <f>T("班塔")</f>
        <v>班塔</v>
      </c>
      <c r="E455" s="3" t="str">
        <f>T("北京大學")</f>
        <v>北京大學</v>
      </c>
      <c r="F455" s="3">
        <v>22</v>
      </c>
      <c r="G455" s="3">
        <v>132</v>
      </c>
    </row>
    <row r="456" spans="1:7" ht="14.25">
      <c r="A456" s="3" t="str">
        <f>T("30111379")</f>
        <v>30111379</v>
      </c>
      <c r="B456" s="14" t="s">
        <v>3596</v>
      </c>
      <c r="C456" s="3" t="s">
        <v>462</v>
      </c>
      <c r="D456" s="3" t="str">
        <f>T("布賴恩")</f>
        <v>布賴恩</v>
      </c>
      <c r="E456" s="3" t="str">
        <f>T("北京大學")</f>
        <v>北京大學</v>
      </c>
      <c r="F456" s="3">
        <v>20</v>
      </c>
      <c r="G456" s="3">
        <v>120</v>
      </c>
    </row>
    <row r="457" spans="1:7" ht="14.25">
      <c r="A457" s="3" t="str">
        <f>T("30111382")</f>
        <v>30111382</v>
      </c>
      <c r="B457" s="14" t="s">
        <v>3599</v>
      </c>
      <c r="C457" s="3" t="s">
        <v>463</v>
      </c>
      <c r="D457" s="3" t="str">
        <f>T("奧唐內爾")</f>
        <v>奧唐內爾</v>
      </c>
      <c r="E457" s="3" t="str">
        <f>T("北京大學")</f>
        <v>北京大學</v>
      </c>
      <c r="F457" s="3">
        <v>22</v>
      </c>
      <c r="G457" s="3">
        <v>132</v>
      </c>
    </row>
    <row r="458" spans="1:7" ht="14.25">
      <c r="A458" s="3" t="str">
        <f>T("30111385")</f>
        <v>30111385</v>
      </c>
      <c r="B458" s="14" t="s">
        <v>3602</v>
      </c>
      <c r="C458" s="3" t="s">
        <v>464</v>
      </c>
      <c r="D458" s="3" t="str">
        <f>T("哈裏斯")</f>
        <v>哈裏斯</v>
      </c>
      <c r="E458" s="3" t="str">
        <f>T("北京大學")</f>
        <v>北京大學</v>
      </c>
      <c r="F458" s="3">
        <v>20</v>
      </c>
      <c r="G458" s="3">
        <v>120</v>
      </c>
    </row>
    <row r="459" spans="1:7" ht="14.25">
      <c r="A459" s="3" t="str">
        <f>T("30111388")</f>
        <v>30111388</v>
      </c>
      <c r="B459" s="14" t="s">
        <v>3605</v>
      </c>
      <c r="C459" s="3" t="s">
        <v>465</v>
      </c>
      <c r="D459" s="3" t="str">
        <f>T("埃斯")</f>
        <v>埃斯</v>
      </c>
      <c r="E459" s="3" t="str">
        <f>T("北京大學")</f>
        <v>北京大學</v>
      </c>
      <c r="F459" s="3">
        <v>22</v>
      </c>
      <c r="G459" s="3">
        <v>132</v>
      </c>
    </row>
    <row r="460" spans="1:7" ht="14.25">
      <c r="A460" s="3" t="str">
        <f>T("30111389")</f>
        <v>30111389</v>
      </c>
      <c r="B460" s="14" t="s">
        <v>3608</v>
      </c>
      <c r="C460" s="3" t="s">
        <v>466</v>
      </c>
      <c r="D460" s="3" t="str">
        <f>T("克勞利")</f>
        <v>克勞利</v>
      </c>
      <c r="E460" s="3" t="str">
        <f>T("北京大學")</f>
        <v>北京大學</v>
      </c>
      <c r="F460" s="3">
        <v>20</v>
      </c>
      <c r="G460" s="3">
        <v>120</v>
      </c>
    </row>
    <row r="461" spans="1:7" ht="14.25">
      <c r="A461" s="3" t="str">
        <f>T("30111409")</f>
        <v>30111409</v>
      </c>
      <c r="B461" s="14" t="s">
        <v>3611</v>
      </c>
      <c r="C461" s="3" t="s">
        <v>467</v>
      </c>
      <c r="D461" s="3" t="str">
        <f>T("瓦格納")</f>
        <v>瓦格納</v>
      </c>
      <c r="E461" s="3" t="str">
        <f>T("北京大學")</f>
        <v>北京大學</v>
      </c>
      <c r="F461" s="3">
        <v>22</v>
      </c>
      <c r="G461" s="3">
        <v>132</v>
      </c>
    </row>
    <row r="462" spans="1:7" ht="14.25">
      <c r="A462" s="3" t="str">
        <f>T("30111410")</f>
        <v>30111410</v>
      </c>
      <c r="B462" s="14" t="s">
        <v>3614</v>
      </c>
      <c r="C462" s="3" t="s">
        <v>468</v>
      </c>
      <c r="D462" s="3" t="str">
        <f>T("霍華德")</f>
        <v>霍華德</v>
      </c>
      <c r="E462" s="3" t="str">
        <f>T("北京大學")</f>
        <v>北京大學</v>
      </c>
      <c r="F462" s="3">
        <v>20</v>
      </c>
      <c r="G462" s="3">
        <v>120</v>
      </c>
    </row>
    <row r="463" spans="1:7" ht="14.25">
      <c r="A463" s="3" t="str">
        <f>T("30111412")</f>
        <v>30111412</v>
      </c>
      <c r="B463" s="14" t="s">
        <v>3617</v>
      </c>
      <c r="C463" s="3" t="s">
        <v>469</v>
      </c>
      <c r="D463" s="3" t="str">
        <f>T("米利根")</f>
        <v>米利根</v>
      </c>
      <c r="E463" s="3" t="str">
        <f>T("北京大學")</f>
        <v>北京大學</v>
      </c>
      <c r="F463" s="3">
        <v>22</v>
      </c>
      <c r="G463" s="3">
        <v>132</v>
      </c>
    </row>
    <row r="464" spans="1:7" ht="14.25">
      <c r="A464" s="3" t="str">
        <f>T("30111437")</f>
        <v>30111437</v>
      </c>
      <c r="B464" s="14" t="s">
        <v>3620</v>
      </c>
      <c r="C464" s="3" t="s">
        <v>470</v>
      </c>
      <c r="D464" s="3" t="str">
        <f>T("金納蒙")</f>
        <v>金納蒙</v>
      </c>
      <c r="E464" s="3" t="str">
        <f>T("北京大學")</f>
        <v>北京大學</v>
      </c>
      <c r="F464" s="3">
        <v>20</v>
      </c>
      <c r="G464" s="3">
        <v>120</v>
      </c>
    </row>
    <row r="465" spans="1:7" ht="14.25">
      <c r="A465" s="3" t="str">
        <f>T("30111461")</f>
        <v>30111461</v>
      </c>
      <c r="B465" s="14" t="s">
        <v>3623</v>
      </c>
      <c r="C465" s="3" t="s">
        <v>471</v>
      </c>
      <c r="D465" s="3" t="str">
        <f>T("奧克沃德")</f>
        <v>奧克沃德</v>
      </c>
      <c r="E465" s="3" t="str">
        <f>T("北京大學")</f>
        <v>北京大學</v>
      </c>
      <c r="F465" s="3">
        <v>20</v>
      </c>
      <c r="G465" s="3">
        <v>120</v>
      </c>
    </row>
    <row r="466" spans="1:7" ht="14.25">
      <c r="A466" s="3" t="str">
        <f>T("30111694")</f>
        <v>30111694</v>
      </c>
      <c r="B466" s="14" t="s">
        <v>3626</v>
      </c>
      <c r="C466" s="3" t="s">
        <v>472</v>
      </c>
      <c r="D466" s="3" t="str">
        <f>T("喻天舒")</f>
        <v>喻天舒</v>
      </c>
      <c r="E466" s="3" t="str">
        <f>T("北京大學")</f>
        <v>北京大學</v>
      </c>
      <c r="F466" s="3">
        <v>20</v>
      </c>
      <c r="G466" s="3">
        <v>120</v>
      </c>
    </row>
    <row r="467" spans="1:7" ht="14.25">
      <c r="A467" s="3" t="str">
        <f>T("30112188")</f>
        <v>30112188</v>
      </c>
      <c r="B467" s="14" t="s">
        <v>3629</v>
      </c>
      <c r="C467" s="3" t="s">
        <v>473</v>
      </c>
      <c r="D467" s="3" t="str">
        <f>T("袁行霈")</f>
        <v>袁行霈</v>
      </c>
      <c r="E467" s="3" t="str">
        <f>T("北京大學")</f>
        <v>北京大學</v>
      </c>
      <c r="F467" s="3">
        <v>52</v>
      </c>
      <c r="G467" s="3">
        <v>312</v>
      </c>
    </row>
    <row r="468" spans="1:7" ht="14.25">
      <c r="A468" s="3" t="str">
        <f>T("30112446")</f>
        <v>30112446</v>
      </c>
      <c r="B468" s="14" t="s">
        <v>3631</v>
      </c>
      <c r="C468" s="3" t="s">
        <v>474</v>
      </c>
      <c r="D468" s="3" t="str">
        <f>T("餘虹")</f>
        <v>餘虹</v>
      </c>
      <c r="E468" s="3" t="str">
        <f>T("北京大學")</f>
        <v>北京大學</v>
      </c>
      <c r="F468" s="3">
        <v>55</v>
      </c>
      <c r="G468" s="3">
        <v>330</v>
      </c>
    </row>
    <row r="469" spans="1:7" ht="14.25">
      <c r="A469" s="3" t="str">
        <f>T("30112468")</f>
        <v>30112468</v>
      </c>
      <c r="B469" s="14" t="s">
        <v>3634</v>
      </c>
      <c r="C469" s="3" t="s">
        <v>475</v>
      </c>
      <c r="D469" s="3" t="str">
        <f>T("肖立")</f>
        <v>肖立</v>
      </c>
      <c r="E469" s="3" t="str">
        <f>T("北京大學")</f>
        <v>北京大學</v>
      </c>
      <c r="F469" s="3">
        <v>38</v>
      </c>
      <c r="G469" s="3">
        <v>228</v>
      </c>
    </row>
    <row r="470" spans="1:7" ht="14.25">
      <c r="A470" s="3" t="str">
        <f>T("30112756")</f>
        <v>30112756</v>
      </c>
      <c r="B470" s="14" t="s">
        <v>3637</v>
      </c>
      <c r="C470" s="3" t="s">
        <v>476</v>
      </c>
      <c r="D470" s="3" t="str">
        <f>T("殷嘯虎")</f>
        <v>殷嘯虎</v>
      </c>
      <c r="E470" s="3" t="str">
        <f>T("北京大學")</f>
        <v>北京大學</v>
      </c>
      <c r="F470" s="3">
        <v>38</v>
      </c>
      <c r="G470" s="3">
        <v>228</v>
      </c>
    </row>
    <row r="471" spans="1:7" ht="14.25">
      <c r="A471" s="3" t="str">
        <f>T("30113128")</f>
        <v>30113128</v>
      </c>
      <c r="B471" s="14" t="s">
        <v>3640</v>
      </c>
      <c r="C471" s="3" t="s">
        <v>477</v>
      </c>
      <c r="D471" s="3" t="str">
        <f>T("王其鈞")</f>
        <v>王其鈞</v>
      </c>
      <c r="E471" s="3" t="str">
        <f>T("北京大學")</f>
        <v>北京大學</v>
      </c>
      <c r="F471" s="3">
        <v>50</v>
      </c>
      <c r="G471" s="3">
        <v>300</v>
      </c>
    </row>
    <row r="472" spans="1:7" ht="14.25">
      <c r="A472" s="3" t="str">
        <f>T("30113129")</f>
        <v>30113129</v>
      </c>
      <c r="B472" s="14" t="s">
        <v>3643</v>
      </c>
      <c r="C472" s="3" t="s">
        <v>478</v>
      </c>
      <c r="D472" s="3" t="str">
        <f>T("霍華")</f>
        <v>霍華</v>
      </c>
      <c r="E472" s="3" t="str">
        <f>T("北京大學")</f>
        <v>北京大學</v>
      </c>
      <c r="F472" s="3">
        <v>50</v>
      </c>
      <c r="G472" s="3">
        <v>300</v>
      </c>
    </row>
    <row r="473" spans="1:7" ht="14.25">
      <c r="A473" s="3" t="str">
        <f>T("30113159")</f>
        <v>30113159</v>
      </c>
      <c r="B473" s="14" t="s">
        <v>3646</v>
      </c>
      <c r="C473" s="3" t="s">
        <v>479</v>
      </c>
      <c r="D473" s="3" t="str">
        <f>T("錢念孫")</f>
        <v>錢念孫</v>
      </c>
      <c r="E473" s="3" t="str">
        <f>T("北京大學")</f>
        <v>北京大學</v>
      </c>
      <c r="F473" s="3">
        <v>76</v>
      </c>
      <c r="G473" s="3">
        <v>456</v>
      </c>
    </row>
    <row r="474" spans="1:7" ht="14.25">
      <c r="A474" s="3" t="str">
        <f>T("30113160")</f>
        <v>30113160</v>
      </c>
      <c r="B474" s="14" t="s">
        <v>3649</v>
      </c>
      <c r="C474" s="3" t="s">
        <v>480</v>
      </c>
      <c r="D474" s="3" t="str">
        <f>T("夏桂楣")</f>
        <v>夏桂楣</v>
      </c>
      <c r="E474" s="3" t="str">
        <f>T("北京大學")</f>
        <v>北京大學</v>
      </c>
      <c r="F474" s="3">
        <v>29</v>
      </c>
      <c r="G474" s="3">
        <v>174</v>
      </c>
    </row>
    <row r="475" spans="1:7" ht="14.25">
      <c r="A475" s="3" t="str">
        <f>T("30113277")</f>
        <v>30113277</v>
      </c>
      <c r="B475" s="14" t="s">
        <v>3652</v>
      </c>
      <c r="C475" s="3" t="s">
        <v>481</v>
      </c>
      <c r="D475" s="3" t="str">
        <f>T("葉嘉瑩")</f>
        <v>葉嘉瑩</v>
      </c>
      <c r="E475" s="3" t="str">
        <f>T("北京大學")</f>
        <v>北京大學</v>
      </c>
      <c r="F475" s="3">
        <v>28</v>
      </c>
      <c r="G475" s="3">
        <v>168</v>
      </c>
    </row>
    <row r="476" spans="1:7" ht="14.25">
      <c r="A476" s="3" t="str">
        <f>T("30113323")</f>
        <v>30113323</v>
      </c>
      <c r="B476" s="14" t="s">
        <v>3655</v>
      </c>
      <c r="C476" s="3" t="s">
        <v>482</v>
      </c>
      <c r="D476" s="3" t="str">
        <f>T("劉玉才 等")</f>
        <v>劉玉才 等</v>
      </c>
      <c r="E476" s="3" t="str">
        <f>T("北京大學")</f>
        <v>北京大學</v>
      </c>
      <c r="F476" s="3">
        <v>138</v>
      </c>
      <c r="G476" s="3">
        <v>828</v>
      </c>
    </row>
    <row r="477" spans="1:7" ht="14.25">
      <c r="A477" s="3" t="str">
        <f>T("30113463")</f>
        <v>30113463</v>
      </c>
      <c r="B477" s="14" t="s">
        <v>3658</v>
      </c>
      <c r="C477" s="3" t="s">
        <v>483</v>
      </c>
      <c r="D477" s="3" t="str">
        <f>T("費孝通")</f>
        <v>費孝通</v>
      </c>
      <c r="E477" s="3" t="str">
        <f>T("北京大學")</f>
        <v>北京大學</v>
      </c>
      <c r="F477" s="3">
        <v>26</v>
      </c>
      <c r="G477" s="3">
        <v>156</v>
      </c>
    </row>
    <row r="478" spans="1:7" ht="14.25">
      <c r="A478" s="3" t="str">
        <f>T("30113686")</f>
        <v>30113686</v>
      </c>
      <c r="B478" s="14" t="s">
        <v>3661</v>
      </c>
      <c r="C478" s="3" t="s">
        <v>484</v>
      </c>
      <c r="D478" s="3" t="str">
        <f>T("王瑤")</f>
        <v>王瑤</v>
      </c>
      <c r="E478" s="3" t="str">
        <f>T("北京大學")</f>
        <v>北京大學</v>
      </c>
      <c r="F478" s="3">
        <v>45</v>
      </c>
      <c r="G478" s="3">
        <v>270</v>
      </c>
    </row>
    <row r="479" spans="1:7" ht="14.25">
      <c r="A479" s="3" t="str">
        <f>T("30113731")</f>
        <v>30113731</v>
      </c>
      <c r="B479" s="14" t="s">
        <v>3664</v>
      </c>
      <c r="C479" s="3" t="s">
        <v>485</v>
      </c>
      <c r="D479" s="3" t="str">
        <f>T("湯哲聲")</f>
        <v>湯哲聲</v>
      </c>
      <c r="E479" s="3" t="str">
        <f>T("北京大學")</f>
        <v>北京大學</v>
      </c>
      <c r="F479" s="3">
        <v>29</v>
      </c>
      <c r="G479" s="3">
        <v>174</v>
      </c>
    </row>
    <row r="480" spans="1:7" ht="14.25">
      <c r="A480" s="3" t="str">
        <f>T("30113979")</f>
        <v>30113979</v>
      </c>
      <c r="B480" s="14" t="s">
        <v>3667</v>
      </c>
      <c r="C480" s="3" t="s">
        <v>478</v>
      </c>
      <c r="D480" s="3" t="str">
        <f>T("霍華")</f>
        <v>霍華</v>
      </c>
      <c r="E480" s="3" t="str">
        <f>T("北京大學")</f>
        <v>北京大學</v>
      </c>
      <c r="F480" s="3">
        <v>28</v>
      </c>
      <c r="G480" s="3">
        <v>168</v>
      </c>
    </row>
    <row r="481" spans="1:7" ht="14.25">
      <c r="A481" s="3" t="str">
        <f>T("30113999")</f>
        <v>30113999</v>
      </c>
      <c r="B481" s="14" t="s">
        <v>3669</v>
      </c>
      <c r="C481" s="3" t="s">
        <v>486</v>
      </c>
      <c r="D481" s="3" t="str">
        <f>T("何茲全")</f>
        <v>何茲全</v>
      </c>
      <c r="E481" s="3" t="str">
        <f>T("北京大學")</f>
        <v>北京大學</v>
      </c>
      <c r="F481" s="3">
        <v>25</v>
      </c>
      <c r="G481" s="3">
        <v>150</v>
      </c>
    </row>
    <row r="482" spans="1:7" ht="14.25">
      <c r="A482" s="3" t="str">
        <f>T("30114066")</f>
        <v>30114066</v>
      </c>
      <c r="B482" s="14" t="s">
        <v>3671</v>
      </c>
      <c r="C482" s="3" t="s">
        <v>487</v>
      </c>
      <c r="D482" s="3" t="str">
        <f>T("胡華")</f>
        <v>胡華</v>
      </c>
      <c r="E482" s="3" t="str">
        <f>T("北京大學")</f>
        <v>北京大學</v>
      </c>
      <c r="F482" s="3">
        <v>31</v>
      </c>
      <c r="G482" s="3">
        <v>186</v>
      </c>
    </row>
    <row r="483" spans="1:7" ht="14.25">
      <c r="A483" s="3" t="str">
        <f>T("30114220")</f>
        <v>30114220</v>
      </c>
      <c r="B483" s="14" t="s">
        <v>3674</v>
      </c>
      <c r="C483" s="3" t="s">
        <v>488</v>
      </c>
      <c r="D483" s="3" t="str">
        <f>T("張帆")</f>
        <v>張帆</v>
      </c>
      <c r="E483" s="3" t="str">
        <f>T("北京大學")</f>
        <v>北京大學</v>
      </c>
      <c r="F483" s="3">
        <v>25</v>
      </c>
      <c r="G483" s="3">
        <v>150</v>
      </c>
    </row>
    <row r="484" spans="1:7" ht="14.25">
      <c r="A484" s="3" t="str">
        <f>T("30114406")</f>
        <v>30114406</v>
      </c>
      <c r="B484" s="14" t="s">
        <v>3677</v>
      </c>
      <c r="C484" s="3" t="s">
        <v>489</v>
      </c>
      <c r="D484" s="3" t="str">
        <f>T("本社")</f>
        <v>本社</v>
      </c>
      <c r="E484" s="3" t="str">
        <f>T("北京大學")</f>
        <v>北京大學</v>
      </c>
      <c r="F484" s="3">
        <v>86</v>
      </c>
      <c r="G484" s="3">
        <v>516</v>
      </c>
    </row>
    <row r="485" spans="1:7" ht="14.25">
      <c r="A485" s="3" t="str">
        <f>T("30114745")</f>
        <v>30114745</v>
      </c>
      <c r="B485" s="14" t="s">
        <v>3679</v>
      </c>
      <c r="C485" s="3" t="s">
        <v>490</v>
      </c>
      <c r="D485" s="3" t="str">
        <f>T("焦玉")</f>
        <v>焦玉</v>
      </c>
      <c r="E485" s="3" t="str">
        <f>T("北京大學")</f>
        <v>北京大學</v>
      </c>
      <c r="F485" s="3">
        <v>20</v>
      </c>
      <c r="G485" s="3">
        <v>120</v>
      </c>
    </row>
    <row r="486" spans="1:7" ht="14.25">
      <c r="A486" s="3" t="str">
        <f>T("30114766")</f>
        <v>30114766</v>
      </c>
      <c r="B486" s="14" t="s">
        <v>3682</v>
      </c>
      <c r="C486" s="3" t="s">
        <v>491</v>
      </c>
      <c r="D486" s="3" t="str">
        <f>T("焦玉")</f>
        <v>焦玉</v>
      </c>
      <c r="E486" s="3" t="str">
        <f>T("北京大學")</f>
        <v>北京大學</v>
      </c>
      <c r="F486" s="3">
        <v>20</v>
      </c>
      <c r="G486" s="3">
        <v>120</v>
      </c>
    </row>
    <row r="487" spans="1:7" ht="14.25">
      <c r="A487" s="3" t="str">
        <f>T("30114825")</f>
        <v>30114825</v>
      </c>
      <c r="B487" s="14" t="s">
        <v>3688</v>
      </c>
      <c r="C487" s="3" t="s">
        <v>492</v>
      </c>
      <c r="D487" s="3" t="str">
        <f>T("林徽因")</f>
        <v>林徽因</v>
      </c>
      <c r="E487" s="3" t="str">
        <f>T("北京大學")</f>
        <v>北京大學</v>
      </c>
      <c r="F487" s="3">
        <v>36</v>
      </c>
      <c r="G487" s="3">
        <v>216</v>
      </c>
    </row>
    <row r="488" spans="1:7" ht="14.25">
      <c r="A488" s="3" t="str">
        <f>T("30114834")</f>
        <v>30114834</v>
      </c>
      <c r="B488" s="14" t="s">
        <v>3691</v>
      </c>
      <c r="C488" s="3" t="s">
        <v>493</v>
      </c>
      <c r="D488" s="3" t="str">
        <f>T("俞伯平")</f>
        <v>俞伯平</v>
      </c>
      <c r="E488" s="3" t="str">
        <f>T("北京大學")</f>
        <v>北京大學</v>
      </c>
      <c r="F488" s="3">
        <v>34</v>
      </c>
      <c r="G488" s="3">
        <v>204</v>
      </c>
    </row>
    <row r="489" spans="1:7" ht="14.25">
      <c r="A489" s="3" t="str">
        <f>T("30115069")</f>
        <v>30115069</v>
      </c>
      <c r="B489" s="14" t="s">
        <v>3694</v>
      </c>
      <c r="C489" s="3" t="s">
        <v>494</v>
      </c>
      <c r="D489" s="3" t="str">
        <f>T("許結")</f>
        <v>許結</v>
      </c>
      <c r="E489" s="3" t="str">
        <f>T("北京大學")</f>
        <v>北京大學</v>
      </c>
      <c r="F489" s="3">
        <v>30</v>
      </c>
      <c r="G489" s="3">
        <v>180</v>
      </c>
    </row>
    <row r="490" spans="1:7" ht="14.25">
      <c r="A490" s="3" t="str">
        <f>T("30115087")</f>
        <v>30115087</v>
      </c>
      <c r="B490" s="14" t="s">
        <v>3697</v>
      </c>
      <c r="C490" s="3" t="s">
        <v>495</v>
      </c>
      <c r="D490" s="3" t="str">
        <f>T("陳平原")</f>
        <v>陳平原</v>
      </c>
      <c r="E490" s="3" t="str">
        <f>T("北京大學")</f>
        <v>北京大學</v>
      </c>
      <c r="F490" s="3">
        <v>42</v>
      </c>
      <c r="G490" s="3">
        <v>252</v>
      </c>
    </row>
    <row r="491" spans="1:7" ht="14.25">
      <c r="A491" s="3" t="str">
        <f>T("30115151")</f>
        <v>30115151</v>
      </c>
      <c r="B491" s="14" t="s">
        <v>3699</v>
      </c>
      <c r="C491" s="3" t="s">
        <v>496</v>
      </c>
      <c r="D491" s="3" t="str">
        <f>T("洪子誠")</f>
        <v>洪子誠</v>
      </c>
      <c r="E491" s="3" t="str">
        <f>T("北京大學")</f>
        <v>北京大學</v>
      </c>
      <c r="F491" s="3">
        <v>36</v>
      </c>
      <c r="G491" s="3">
        <v>216</v>
      </c>
    </row>
    <row r="492" spans="1:7" ht="14.25">
      <c r="A492" s="3" t="str">
        <f>T("30115196")</f>
        <v>30115196</v>
      </c>
      <c r="B492" s="14" t="s">
        <v>3702</v>
      </c>
      <c r="C492" s="3" t="s">
        <v>497</v>
      </c>
      <c r="D492" s="3" t="str">
        <f>T("王貴生著")</f>
        <v>王貴生著</v>
      </c>
      <c r="E492" s="3" t="str">
        <f>T("北京大學")</f>
        <v>北京大學</v>
      </c>
      <c r="F492" s="3">
        <v>45</v>
      </c>
      <c r="G492" s="3">
        <v>270</v>
      </c>
    </row>
    <row r="493" spans="1:7" ht="14.25">
      <c r="A493" s="3" t="str">
        <f>T("30115252")</f>
        <v>30115252</v>
      </c>
      <c r="B493" s="14" t="s">
        <v>3705</v>
      </c>
      <c r="C493" s="3" t="s">
        <v>498</v>
      </c>
      <c r="D493" s="3" t="str">
        <f>T("蔡小容")</f>
        <v>蔡小容</v>
      </c>
      <c r="E493" s="3" t="str">
        <f>T("北京大學")</f>
        <v>北京大學</v>
      </c>
      <c r="F493" s="3">
        <v>28</v>
      </c>
      <c r="G493" s="3">
        <v>168</v>
      </c>
    </row>
    <row r="494" spans="1:7" ht="14.25">
      <c r="A494" s="3" t="str">
        <f>T("30115253")</f>
        <v>30115253</v>
      </c>
      <c r="B494" s="14" t="s">
        <v>3708</v>
      </c>
      <c r="C494" s="3" t="s">
        <v>499</v>
      </c>
      <c r="D494" s="3" t="str">
        <f>T("武玉梅")</f>
        <v>武玉梅</v>
      </c>
      <c r="E494" s="3" t="str">
        <f>T("北京大學")</f>
        <v>北京大學</v>
      </c>
      <c r="F494" s="3">
        <v>30</v>
      </c>
      <c r="G494" s="3">
        <v>180</v>
      </c>
    </row>
    <row r="495" spans="1:7" ht="14.25">
      <c r="A495" s="3" t="str">
        <f>T("30115373")</f>
        <v>30115373</v>
      </c>
      <c r="B495" s="14" t="s">
        <v>3711</v>
      </c>
      <c r="C495" s="3" t="s">
        <v>500</v>
      </c>
      <c r="D495" s="3" t="str">
        <f>T("洪子誠")</f>
        <v>洪子誠</v>
      </c>
      <c r="E495" s="3" t="str">
        <f>T("北京大學")</f>
        <v>北京大學</v>
      </c>
      <c r="F495" s="3">
        <v>60</v>
      </c>
      <c r="G495" s="3">
        <v>360</v>
      </c>
    </row>
    <row r="496" spans="1:7" ht="14.25">
      <c r="A496" s="3" t="str">
        <f>T("30115426")</f>
        <v>30115426</v>
      </c>
      <c r="B496" s="14" t="s">
        <v>3713</v>
      </c>
      <c r="C496" s="3" t="s">
        <v>501</v>
      </c>
      <c r="D496" s="3" t="str">
        <f>T("洪子誠")</f>
        <v>洪子誠</v>
      </c>
      <c r="E496" s="3" t="str">
        <f>T("北京大學")</f>
        <v>北京大學</v>
      </c>
      <c r="F496" s="3">
        <v>25</v>
      </c>
      <c r="G496" s="3">
        <v>150</v>
      </c>
    </row>
    <row r="497" spans="1:7" ht="14.25">
      <c r="A497" s="3" t="str">
        <f>T("30115442")</f>
        <v>30115442</v>
      </c>
      <c r="B497" s="14" t="s">
        <v>3715</v>
      </c>
      <c r="C497" s="3" t="s">
        <v>502</v>
      </c>
      <c r="D497" s="3" t="str">
        <f>T("孫鶴")</f>
        <v>孫鶴</v>
      </c>
      <c r="E497" s="3" t="str">
        <f>T("北京大學")</f>
        <v>北京大學</v>
      </c>
      <c r="F497" s="3">
        <v>32</v>
      </c>
      <c r="G497" s="3">
        <v>192</v>
      </c>
    </row>
    <row r="498" spans="1:7" ht="14.25">
      <c r="A498" s="3" t="str">
        <f>T("30115490")</f>
        <v>30115490</v>
      </c>
      <c r="B498" s="14" t="s">
        <v>3718</v>
      </c>
      <c r="C498" s="3" t="s">
        <v>503</v>
      </c>
      <c r="D498" s="3" t="str">
        <f>T("馬慶洲")</f>
        <v>馬慶洲</v>
      </c>
      <c r="E498" s="3" t="str">
        <f>T("北京大學")</f>
        <v>北京大學</v>
      </c>
      <c r="F498" s="3">
        <v>27</v>
      </c>
      <c r="G498" s="3">
        <v>162</v>
      </c>
    </row>
    <row r="499" spans="1:7" ht="14.25">
      <c r="A499" s="3" t="str">
        <f>T("30115558")</f>
        <v>30115558</v>
      </c>
      <c r="B499" s="14" t="s">
        <v>3721</v>
      </c>
      <c r="C499" s="3" t="s">
        <v>504</v>
      </c>
      <c r="D499" s="3" t="str">
        <f>T("向回")</f>
        <v>向回</v>
      </c>
      <c r="E499" s="3" t="str">
        <f>T("北京大學")</f>
        <v>北京大學</v>
      </c>
      <c r="F499" s="3">
        <v>48</v>
      </c>
      <c r="G499" s="3">
        <v>288</v>
      </c>
    </row>
    <row r="500" spans="1:7" ht="14.25">
      <c r="A500" s="3" t="str">
        <f>T("30115680")</f>
        <v>30115680</v>
      </c>
      <c r="B500" s="14" t="s">
        <v>3724</v>
      </c>
      <c r="C500" s="3" t="s">
        <v>505</v>
      </c>
      <c r="D500" s="3" t="str">
        <f>T("蔡元培")</f>
        <v>蔡元培</v>
      </c>
      <c r="E500" s="3" t="str">
        <f>T("北京大學")</f>
        <v>北京大學</v>
      </c>
      <c r="F500" s="3">
        <v>24</v>
      </c>
      <c r="G500" s="3">
        <v>144</v>
      </c>
    </row>
    <row r="501" spans="1:7" ht="14.25">
      <c r="A501" s="3" t="str">
        <f>T("30115682")</f>
        <v>30115682</v>
      </c>
      <c r="B501" s="14" t="s">
        <v>3727</v>
      </c>
      <c r="C501" s="3" t="s">
        <v>506</v>
      </c>
      <c r="D501" s="3" t="str">
        <f>T("張蔭麟")</f>
        <v>張蔭麟</v>
      </c>
      <c r="E501" s="3" t="str">
        <f>T("北京大學")</f>
        <v>北京大學</v>
      </c>
      <c r="F501" s="3">
        <v>25</v>
      </c>
      <c r="G501" s="3">
        <v>150</v>
      </c>
    </row>
    <row r="502" spans="1:7" ht="14.25">
      <c r="A502" s="3" t="str">
        <f>T("30115753")</f>
        <v>30115753</v>
      </c>
      <c r="B502" s="14" t="s">
        <v>3730</v>
      </c>
      <c r="C502" s="3" t="s">
        <v>507</v>
      </c>
      <c r="D502" s="3" t="str">
        <f>T("程光煒編")</f>
        <v>程光煒編</v>
      </c>
      <c r="E502" s="3" t="str">
        <f>T("北京大學")</f>
        <v>北京大學</v>
      </c>
      <c r="F502" s="3">
        <v>25</v>
      </c>
      <c r="G502" s="3">
        <v>150</v>
      </c>
    </row>
    <row r="503" spans="1:7" ht="14.25">
      <c r="A503" s="3" t="str">
        <f>T("30115808")</f>
        <v>30115808</v>
      </c>
      <c r="B503" s="14" t="s">
        <v>3733</v>
      </c>
      <c r="C503" s="3" t="s">
        <v>508</v>
      </c>
      <c r="D503" s="3" t="str">
        <f>T("本社")</f>
        <v>本社</v>
      </c>
      <c r="E503" s="3" t="str">
        <f>T("北京大學")</f>
        <v>北京大學</v>
      </c>
      <c r="F503" s="3">
        <v>60</v>
      </c>
      <c r="G503" s="3">
        <v>360</v>
      </c>
    </row>
    <row r="504" spans="1:7" ht="14.25">
      <c r="A504" s="3" t="str">
        <f>T("30115984")</f>
        <v>30115984</v>
      </c>
      <c r="B504" s="14" t="s">
        <v>3735</v>
      </c>
      <c r="C504" s="3" t="s">
        <v>509</v>
      </c>
      <c r="D504" s="3" t="str">
        <f>T("陳蘇鎮")</f>
        <v>陳蘇鎮</v>
      </c>
      <c r="E504" s="3" t="str">
        <f>T("北京大學")</f>
        <v>北京大學</v>
      </c>
      <c r="F504" s="3">
        <v>45</v>
      </c>
      <c r="G504" s="3">
        <v>270</v>
      </c>
    </row>
    <row r="505" spans="1:7" ht="14.25">
      <c r="A505" s="3" t="str">
        <f>T("30116110")</f>
        <v>30116110</v>
      </c>
      <c r="B505" s="14" t="s">
        <v>3738</v>
      </c>
      <c r="C505" s="3" t="s">
        <v>510</v>
      </c>
      <c r="D505" s="3" t="str">
        <f>T("王倩")</f>
        <v>王倩</v>
      </c>
      <c r="E505" s="3" t="str">
        <f>T("北京大學")</f>
        <v>北京大學</v>
      </c>
      <c r="F505" s="3">
        <v>26</v>
      </c>
      <c r="G505" s="3">
        <v>156</v>
      </c>
    </row>
    <row r="506" spans="1:7" ht="14.25">
      <c r="A506" s="3" t="str">
        <f>T("30116172")</f>
        <v>30116172</v>
      </c>
      <c r="B506" s="14" t="s">
        <v>3741</v>
      </c>
      <c r="C506" s="3" t="s">
        <v>511</v>
      </c>
      <c r="D506" s="3" t="str">
        <f>T("郭有獻")</f>
        <v>郭有獻</v>
      </c>
      <c r="E506" s="3" t="str">
        <f>T("北京大學")</f>
        <v>北京大學</v>
      </c>
      <c r="F506" s="3">
        <v>50</v>
      </c>
      <c r="G506" s="3">
        <v>300</v>
      </c>
    </row>
    <row r="507" spans="1:7" ht="14.25">
      <c r="A507" s="3" t="str">
        <f>T("30116214")</f>
        <v>30116214</v>
      </c>
      <c r="B507" s="14" t="s">
        <v>3744</v>
      </c>
      <c r="C507" s="3" t="s">
        <v>512</v>
      </c>
      <c r="D507" s="3" t="str">
        <f>T("何寄澎")</f>
        <v>何寄澎</v>
      </c>
      <c r="E507" s="3" t="str">
        <f>T("北京大學")</f>
        <v>北京大學</v>
      </c>
      <c r="F507" s="3">
        <v>24</v>
      </c>
      <c r="G507" s="3">
        <v>144</v>
      </c>
    </row>
    <row r="508" spans="1:7" ht="14.25">
      <c r="A508" s="3" t="str">
        <f>T("30116242")</f>
        <v>30116242</v>
      </c>
      <c r="B508" s="14" t="s">
        <v>3747</v>
      </c>
      <c r="C508" s="3" t="s">
        <v>513</v>
      </c>
      <c r="D508" s="3" t="str">
        <f>T("牛大勇")</f>
        <v>牛大勇</v>
      </c>
      <c r="E508" s="3" t="str">
        <f>T("北京大學")</f>
        <v>北京大學</v>
      </c>
      <c r="F508" s="3">
        <v>60</v>
      </c>
      <c r="G508" s="3">
        <v>360</v>
      </c>
    </row>
    <row r="509" spans="1:7" ht="14.25">
      <c r="A509" s="3" t="str">
        <f>T("30116266")</f>
        <v>30116266</v>
      </c>
      <c r="B509" s="14" t="s">
        <v>3750</v>
      </c>
      <c r="C509" s="3" t="s">
        <v>514</v>
      </c>
      <c r="D509" s="3" t="str">
        <f>T("王學典")</f>
        <v>王學典</v>
      </c>
      <c r="E509" s="3" t="str">
        <f>T("北京大學")</f>
        <v>北京大學</v>
      </c>
      <c r="F509" s="3">
        <v>65</v>
      </c>
      <c r="G509" s="3">
        <v>390</v>
      </c>
    </row>
    <row r="510" spans="1:7" ht="14.25">
      <c r="A510" s="3" t="str">
        <f>T("30116286")</f>
        <v>30116286</v>
      </c>
      <c r="B510" s="14" t="s">
        <v>3753</v>
      </c>
      <c r="C510" s="3" t="s">
        <v>515</v>
      </c>
      <c r="D510" s="3" t="str">
        <f>T("趙玉敏")</f>
        <v>趙玉敏</v>
      </c>
      <c r="E510" s="3" t="str">
        <f>T("北京大學")</f>
        <v>北京大學</v>
      </c>
      <c r="F510" s="3">
        <v>40</v>
      </c>
      <c r="G510" s="3">
        <v>240</v>
      </c>
    </row>
    <row r="511" spans="1:7" ht="14.25">
      <c r="A511" s="3" t="str">
        <f>T("30116312")</f>
        <v>30116312</v>
      </c>
      <c r="B511" s="14" t="s">
        <v>3756</v>
      </c>
      <c r="C511" s="3" t="s">
        <v>516</v>
      </c>
      <c r="D511" s="3" t="str">
        <f>T("張建國.薛群慧著")</f>
        <v>張建國.薛群慧著</v>
      </c>
      <c r="E511" s="3" t="str">
        <f>T("北京大學")</f>
        <v>北京大學</v>
      </c>
      <c r="F511" s="3">
        <v>38</v>
      </c>
      <c r="G511" s="3">
        <v>228</v>
      </c>
    </row>
    <row r="512" spans="1:7" ht="14.25">
      <c r="A512" s="3" t="str">
        <f>T("30116338")</f>
        <v>30116338</v>
      </c>
      <c r="B512" s="14" t="s">
        <v>3759</v>
      </c>
      <c r="C512" s="3" t="s">
        <v>517</v>
      </c>
      <c r="D512" s="3" t="str">
        <f>T("季紅真")</f>
        <v>季紅真</v>
      </c>
      <c r="E512" s="3" t="str">
        <f>T("北京大學")</f>
        <v>北京大學</v>
      </c>
      <c r="F512" s="3">
        <v>32</v>
      </c>
      <c r="G512" s="3">
        <v>192</v>
      </c>
    </row>
    <row r="513" spans="1:7" ht="14.25">
      <c r="A513" s="3" t="str">
        <f>T("30116426")</f>
        <v>30116426</v>
      </c>
      <c r="B513" s="14" t="s">
        <v>3762</v>
      </c>
      <c r="C513" s="3" t="s">
        <v>518</v>
      </c>
      <c r="D513" s="3" t="str">
        <f>T("陳平原著")</f>
        <v>陳平原著</v>
      </c>
      <c r="E513" s="3" t="str">
        <f>T("北京大學")</f>
        <v>北京大學</v>
      </c>
      <c r="F513" s="3">
        <v>41</v>
      </c>
      <c r="G513" s="3">
        <v>246</v>
      </c>
    </row>
    <row r="514" spans="1:7" ht="14.25">
      <c r="A514" s="3" t="str">
        <f>T("30116560")</f>
        <v>30116560</v>
      </c>
      <c r="B514" s="14" t="s">
        <v>3765</v>
      </c>
      <c r="C514" s="3" t="s">
        <v>519</v>
      </c>
      <c r="D514" s="3" t="str">
        <f>T("何兆武")</f>
        <v>何兆武</v>
      </c>
      <c r="E514" s="3" t="str">
        <f>T("北京大學")</f>
        <v>北京大學</v>
      </c>
      <c r="F514" s="3">
        <v>29</v>
      </c>
      <c r="G514" s="3">
        <v>174</v>
      </c>
    </row>
    <row r="515" spans="1:7" ht="14.25">
      <c r="A515" s="3" t="str">
        <f>T("30116577")</f>
        <v>30116577</v>
      </c>
      <c r="B515" s="14" t="s">
        <v>3768</v>
      </c>
      <c r="C515" s="3" t="s">
        <v>520</v>
      </c>
      <c r="D515" s="3" t="str">
        <f>T("潘光旦")</f>
        <v>潘光旦</v>
      </c>
      <c r="E515" s="3" t="str">
        <f>T("北京大學")</f>
        <v>北京大學</v>
      </c>
      <c r="F515" s="3">
        <v>48</v>
      </c>
      <c r="G515" s="3">
        <v>288</v>
      </c>
    </row>
    <row r="516" spans="1:7" ht="14.25">
      <c r="A516" s="3" t="str">
        <f>T("30116954")</f>
        <v>30116954</v>
      </c>
      <c r="B516" s="14" t="s">
        <v>3771</v>
      </c>
      <c r="C516" s="3" t="s">
        <v>521</v>
      </c>
      <c r="D516" s="3" t="str">
        <f>T("楊立華")</f>
        <v>楊立華</v>
      </c>
      <c r="E516" s="3" t="str">
        <f>T("北京大學")</f>
        <v>北京大學</v>
      </c>
      <c r="F516" s="3">
        <v>33</v>
      </c>
      <c r="G516" s="3">
        <v>198</v>
      </c>
    </row>
    <row r="517" spans="1:7" ht="14.25">
      <c r="A517" s="3" t="str">
        <f>T("30117097")</f>
        <v>30117097</v>
      </c>
      <c r="B517" s="14" t="s">
        <v>3774</v>
      </c>
      <c r="C517" s="3" t="s">
        <v>522</v>
      </c>
      <c r="D517" s="3" t="str">
        <f>T("高丙中. 著")</f>
        <v>高丙中. 著</v>
      </c>
      <c r="E517" s="3" t="str">
        <f>T("北京大學")</f>
        <v>北京大學</v>
      </c>
      <c r="F517" s="3">
        <v>25</v>
      </c>
      <c r="G517" s="3">
        <v>150</v>
      </c>
    </row>
    <row r="518" spans="1:7" ht="14.25">
      <c r="A518" s="3" t="str">
        <f>T("30117192")</f>
        <v>30117192</v>
      </c>
      <c r="B518" s="14" t="s">
        <v>3777</v>
      </c>
      <c r="C518" s="3" t="s">
        <v>523</v>
      </c>
      <c r="D518" s="3" t="str">
        <f>T("張少康. 著")</f>
        <v>張少康. 著</v>
      </c>
      <c r="E518" s="3" t="str">
        <f>T("北京大學")</f>
        <v>北京大學</v>
      </c>
      <c r="F518" s="3">
        <v>38</v>
      </c>
      <c r="G518" s="3">
        <v>228</v>
      </c>
    </row>
    <row r="519" spans="1:7" ht="14.25">
      <c r="A519" s="3" t="str">
        <f>T("30117221")</f>
        <v>30117221</v>
      </c>
      <c r="B519" s="14" t="s">
        <v>3780</v>
      </c>
      <c r="C519" s="3" t="s">
        <v>524</v>
      </c>
      <c r="D519" s="3" t="str">
        <f>T("張鬱乎. 著")</f>
        <v>張鬱乎. 著</v>
      </c>
      <c r="E519" s="3" t="str">
        <f>T("北京大學")</f>
        <v>北京大學</v>
      </c>
      <c r="F519" s="3">
        <v>40</v>
      </c>
      <c r="G519" s="3">
        <v>240</v>
      </c>
    </row>
    <row r="520" spans="1:7" ht="14.25">
      <c r="A520" s="3" t="str">
        <f>T("30117224")</f>
        <v>30117224</v>
      </c>
      <c r="B520" s="14" t="s">
        <v>3783</v>
      </c>
      <c r="C520" s="3" t="s">
        <v>525</v>
      </c>
      <c r="D520" s="3" t="str">
        <f>T("趙玲玲")</f>
        <v>趙玲玲</v>
      </c>
      <c r="E520" s="3" t="str">
        <f>T("北京大學")</f>
        <v>北京大學</v>
      </c>
      <c r="F520" s="3">
        <v>28</v>
      </c>
      <c r="G520" s="3">
        <v>168</v>
      </c>
    </row>
    <row r="521" spans="1:7" ht="14.25">
      <c r="A521" s="3" t="str">
        <f>T("30117701")</f>
        <v>30117701</v>
      </c>
      <c r="B521" s="14" t="s">
        <v>3786</v>
      </c>
      <c r="C521" s="3" t="s">
        <v>526</v>
      </c>
      <c r="D521" s="3" t="str">
        <f>T("劉東")</f>
        <v>劉東</v>
      </c>
      <c r="E521" s="3" t="str">
        <f>T("北京大學")</f>
        <v>北京大學</v>
      </c>
      <c r="F521" s="3">
        <v>28</v>
      </c>
      <c r="G521" s="3">
        <v>168</v>
      </c>
    </row>
    <row r="522" spans="1:7" ht="14.25">
      <c r="A522" s="3" t="str">
        <f>T("30117775")</f>
        <v>30117775</v>
      </c>
      <c r="B522" s="14" t="s">
        <v>3789</v>
      </c>
      <c r="C522" s="3" t="s">
        <v>527</v>
      </c>
      <c r="D522" s="3">
        <f>T("")</f>
      </c>
      <c r="E522" s="3" t="str">
        <f>T("北京大學")</f>
        <v>北京大學</v>
      </c>
      <c r="F522" s="3">
        <v>24</v>
      </c>
      <c r="G522" s="3">
        <v>144</v>
      </c>
    </row>
    <row r="523" spans="1:7" ht="14.25">
      <c r="A523" s="3" t="str">
        <f>T("30119202")</f>
        <v>30119202</v>
      </c>
      <c r="B523" s="14" t="s">
        <v>3791</v>
      </c>
      <c r="C523" s="3" t="s">
        <v>528</v>
      </c>
      <c r="D523" s="3" t="str">
        <f>T("趙冬梅著")</f>
        <v>趙冬梅著</v>
      </c>
      <c r="E523" s="3" t="str">
        <f>T("北京大學")</f>
        <v>北京大學</v>
      </c>
      <c r="F523" s="3">
        <v>42</v>
      </c>
      <c r="G523" s="3">
        <v>252</v>
      </c>
    </row>
    <row r="524" spans="1:7" ht="14.25">
      <c r="A524" s="3" t="str">
        <f>T("30220339")</f>
        <v>30220339</v>
      </c>
      <c r="B524" s="14" t="s">
        <v>3794</v>
      </c>
      <c r="C524" s="3" t="s">
        <v>529</v>
      </c>
      <c r="D524" s="3" t="str">
        <f>T("傅璿琮")</f>
        <v>傅璿琮</v>
      </c>
      <c r="E524" s="3" t="str">
        <f>T("清華大學")</f>
        <v>清華大學</v>
      </c>
      <c r="F524" s="3">
        <v>27</v>
      </c>
      <c r="G524" s="3">
        <v>162</v>
      </c>
    </row>
    <row r="525" spans="1:7" ht="14.25">
      <c r="A525" s="3" t="str">
        <f>T("30307960")</f>
        <v>30307960</v>
      </c>
      <c r="B525" s="14" t="s">
        <v>3797</v>
      </c>
      <c r="C525" s="3" t="s">
        <v>530</v>
      </c>
      <c r="D525" s="3" t="str">
        <f>T("劉勇")</f>
        <v>劉勇</v>
      </c>
      <c r="E525" s="3" t="str">
        <f>T("北京師大")</f>
        <v>北京師大</v>
      </c>
      <c r="F525" s="3">
        <v>14</v>
      </c>
      <c r="G525" s="3">
        <v>84</v>
      </c>
    </row>
    <row r="526" spans="1:7" ht="14.25">
      <c r="A526" s="3" t="str">
        <f>T("30309866")</f>
        <v>30309866</v>
      </c>
      <c r="B526" s="14" t="s">
        <v>3801</v>
      </c>
      <c r="C526" s="3" t="s">
        <v>531</v>
      </c>
      <c r="D526" s="3" t="str">
        <f>T("鄭師渠")</f>
        <v>鄭師渠</v>
      </c>
      <c r="E526" s="3" t="str">
        <f>T("北京師大")</f>
        <v>北京師大</v>
      </c>
      <c r="F526" s="3">
        <v>64</v>
      </c>
      <c r="G526" s="3">
        <v>384</v>
      </c>
    </row>
    <row r="527" spans="1:7" ht="14.25">
      <c r="A527" s="3" t="str">
        <f>T("30309867")</f>
        <v>30309867</v>
      </c>
      <c r="B527" s="14" t="s">
        <v>3804</v>
      </c>
      <c r="C527" s="3" t="s">
        <v>532</v>
      </c>
      <c r="D527" s="3" t="str">
        <f>T("鄭師渠")</f>
        <v>鄭師渠</v>
      </c>
      <c r="E527" s="3" t="str">
        <f>T("北京師大")</f>
        <v>北京師大</v>
      </c>
      <c r="F527" s="3">
        <v>55</v>
      </c>
      <c r="G527" s="3">
        <v>330</v>
      </c>
    </row>
    <row r="528" spans="1:7" ht="14.25">
      <c r="A528" s="3" t="str">
        <f>T("30309868")</f>
        <v>30309868</v>
      </c>
      <c r="B528" s="14" t="s">
        <v>3806</v>
      </c>
      <c r="C528" s="3" t="s">
        <v>533</v>
      </c>
      <c r="D528" s="3" t="str">
        <f>T("鄭師渠")</f>
        <v>鄭師渠</v>
      </c>
      <c r="E528" s="3" t="str">
        <f>T("北京師大")</f>
        <v>北京師大</v>
      </c>
      <c r="F528" s="3">
        <v>68</v>
      </c>
      <c r="G528" s="3">
        <v>408</v>
      </c>
    </row>
    <row r="529" spans="1:7" ht="14.25">
      <c r="A529" s="3" t="str">
        <f>T("30309869")</f>
        <v>30309869</v>
      </c>
      <c r="B529" s="14" t="s">
        <v>3808</v>
      </c>
      <c r="C529" s="3" t="s">
        <v>534</v>
      </c>
      <c r="D529" s="3" t="str">
        <f>T("鄭師渠")</f>
        <v>鄭師渠</v>
      </c>
      <c r="E529" s="3" t="str">
        <f>T("北京師大")</f>
        <v>北京師大</v>
      </c>
      <c r="F529" s="3">
        <v>68</v>
      </c>
      <c r="G529" s="3">
        <v>408</v>
      </c>
    </row>
    <row r="530" spans="1:7" ht="14.25">
      <c r="A530" s="3" t="str">
        <f>T("30310592")</f>
        <v>30310592</v>
      </c>
      <c r="B530" s="14" t="s">
        <v>3810</v>
      </c>
      <c r="C530" s="3" t="s">
        <v>535</v>
      </c>
      <c r="D530" s="3" t="str">
        <f>T("汝企和 主編")</f>
        <v>汝企和 主編</v>
      </c>
      <c r="E530" s="3" t="str">
        <f>T("北京師大")</f>
        <v>北京師大</v>
      </c>
      <c r="F530" s="3">
        <v>25</v>
      </c>
      <c r="G530" s="3">
        <v>150</v>
      </c>
    </row>
    <row r="531" spans="1:7" ht="14.25">
      <c r="A531" s="3" t="str">
        <f>T("30310868")</f>
        <v>30310868</v>
      </c>
      <c r="B531" s="14" t="s">
        <v>3813</v>
      </c>
      <c r="C531" s="3" t="s">
        <v>536</v>
      </c>
      <c r="D531" s="3" t="str">
        <f>T("黃會林. 史可揚. 主編")</f>
        <v>黃會林. 史可揚. 主編</v>
      </c>
      <c r="E531" s="3" t="str">
        <f>T("北京師大")</f>
        <v>北京師大</v>
      </c>
      <c r="F531" s="3">
        <v>40</v>
      </c>
      <c r="G531" s="3">
        <v>240</v>
      </c>
    </row>
    <row r="532" spans="1:7" ht="14.25">
      <c r="A532" s="3" t="str">
        <f>T("30503812")</f>
        <v>30503812</v>
      </c>
      <c r="B532" s="14" t="s">
        <v>3816</v>
      </c>
      <c r="C532" s="3" t="s">
        <v>537</v>
      </c>
      <c r="D532" s="3" t="str">
        <f>T("韋明鏵")</f>
        <v>韋明鏵</v>
      </c>
      <c r="E532" s="3" t="str">
        <f>T("南京大學")</f>
        <v>南京大學</v>
      </c>
      <c r="F532" s="3">
        <v>9</v>
      </c>
      <c r="G532" s="3">
        <v>54</v>
      </c>
    </row>
    <row r="533" spans="1:7" ht="14.25">
      <c r="A533" s="3" t="str">
        <f>T("30503812B")</f>
        <v>30503812B</v>
      </c>
      <c r="B533" s="14" t="s">
        <v>3816</v>
      </c>
      <c r="C533" s="3" t="s">
        <v>538</v>
      </c>
      <c r="D533" s="3" t="str">
        <f>T("杜海")</f>
        <v>杜海</v>
      </c>
      <c r="E533" s="3" t="str">
        <f>T("南京大學")</f>
        <v>南京大學</v>
      </c>
      <c r="F533" s="3">
        <v>9</v>
      </c>
      <c r="G533" s="3">
        <v>54</v>
      </c>
    </row>
    <row r="534" spans="1:7" ht="14.25">
      <c r="A534" s="3" t="str">
        <f>T("30503812C")</f>
        <v>30503812C</v>
      </c>
      <c r="B534" s="14" t="s">
        <v>3816</v>
      </c>
      <c r="C534" s="3" t="s">
        <v>539</v>
      </c>
      <c r="D534" s="3" t="str">
        <f>T("韋艾佳")</f>
        <v>韋艾佳</v>
      </c>
      <c r="E534" s="3" t="str">
        <f>T("南京大學")</f>
        <v>南京大學</v>
      </c>
      <c r="F534" s="3">
        <v>9</v>
      </c>
      <c r="G534" s="3">
        <v>54</v>
      </c>
    </row>
    <row r="535" spans="1:7" ht="14.25">
      <c r="A535" s="3" t="str">
        <f>T("30505232")</f>
        <v>30505232</v>
      </c>
      <c r="B535" s="14" t="s">
        <v>3824</v>
      </c>
      <c r="C535" s="3" t="s">
        <v>540</v>
      </c>
      <c r="D535" s="3" t="str">
        <f>T("吳為山，傳義主編")</f>
        <v>吳為山，傳義主編</v>
      </c>
      <c r="E535" s="3" t="str">
        <f>T("南京大學")</f>
        <v>南京大學</v>
      </c>
      <c r="F535" s="3">
        <v>28</v>
      </c>
      <c r="G535" s="3">
        <v>168</v>
      </c>
    </row>
    <row r="536" spans="1:7" ht="14.25">
      <c r="A536" s="3" t="str">
        <f>T("30505616")</f>
        <v>30505616</v>
      </c>
      <c r="B536" s="14" t="s">
        <v>3830</v>
      </c>
      <c r="C536" s="3" t="s">
        <v>541</v>
      </c>
      <c r="D536" s="3" t="str">
        <f>T("周憲編")</f>
        <v>周憲編</v>
      </c>
      <c r="E536" s="3" t="str">
        <f>T("南京大學")</f>
        <v>南京大學</v>
      </c>
      <c r="F536" s="3">
        <v>68</v>
      </c>
      <c r="G536" s="3">
        <v>408</v>
      </c>
    </row>
    <row r="537" spans="1:7" ht="14.25">
      <c r="A537" s="3" t="str">
        <f>T("30505937")</f>
        <v>30505937</v>
      </c>
      <c r="B537" s="14" t="s">
        <v>3833</v>
      </c>
      <c r="C537" s="3" t="s">
        <v>542</v>
      </c>
      <c r="D537" s="3" t="str">
        <f>T("郝潤華，武秀成著")</f>
        <v>郝潤華，武秀成著</v>
      </c>
      <c r="E537" s="3" t="str">
        <f>T("南京大學")</f>
        <v>南京大學</v>
      </c>
      <c r="F537" s="3">
        <v>66</v>
      </c>
      <c r="G537" s="3">
        <v>396</v>
      </c>
    </row>
    <row r="538" spans="1:7" ht="14.25">
      <c r="A538" s="3" t="str">
        <f>T("30505951")</f>
        <v>30505951</v>
      </c>
      <c r="B538" s="14" t="s">
        <v>3836</v>
      </c>
      <c r="C538" s="3" t="s">
        <v>543</v>
      </c>
      <c r="D538" s="3" t="str">
        <f>T("陳其泰  趙永春")</f>
        <v>陳其泰  趙永春</v>
      </c>
      <c r="E538" s="3" t="str">
        <f>T("南京大學")</f>
        <v>南京大學</v>
      </c>
      <c r="F538" s="3">
        <v>60</v>
      </c>
      <c r="G538" s="3">
        <v>360</v>
      </c>
    </row>
    <row r="539" spans="1:7" ht="14.25">
      <c r="A539" s="3" t="str">
        <f>T("30505988")</f>
        <v>30505988</v>
      </c>
      <c r="B539" s="14" t="s">
        <v>3839</v>
      </c>
      <c r="C539" s="3" t="s">
        <v>544</v>
      </c>
      <c r="D539" s="3" t="str">
        <f>T("王步高著")</f>
        <v>王步高著</v>
      </c>
      <c r="E539" s="3" t="str">
        <f>T("南京大學")</f>
        <v>南京大學</v>
      </c>
      <c r="F539" s="3">
        <v>65</v>
      </c>
      <c r="G539" s="3">
        <v>390</v>
      </c>
    </row>
    <row r="540" spans="1:7" ht="14.25">
      <c r="A540" s="3" t="str">
        <f>T("30505999")</f>
        <v>30505999</v>
      </c>
      <c r="B540" s="14" t="s">
        <v>3842</v>
      </c>
      <c r="C540" s="3" t="s">
        <v>545</v>
      </c>
      <c r="D540" s="3" t="str">
        <f>T("郭文韜，嚴火其著")</f>
        <v>郭文韜，嚴火其著</v>
      </c>
      <c r="E540" s="3" t="str">
        <f>T("南京大學")</f>
        <v>南京大學</v>
      </c>
      <c r="F540" s="3">
        <v>40</v>
      </c>
      <c r="G540" s="3">
        <v>240</v>
      </c>
    </row>
    <row r="541" spans="1:7" ht="14.25">
      <c r="A541" s="3" t="str">
        <f>T("30506608")</f>
        <v>30506608</v>
      </c>
      <c r="B541" s="14" t="s">
        <v>3845</v>
      </c>
      <c r="C541" s="3" t="s">
        <v>546</v>
      </c>
      <c r="D541" s="3" t="str">
        <f>T("童強.李喜燕著")</f>
        <v>童強.李喜燕著</v>
      </c>
      <c r="E541" s="3" t="str">
        <f>T("南京大學")</f>
        <v>南京大學</v>
      </c>
      <c r="F541" s="3">
        <v>32.8</v>
      </c>
      <c r="G541" s="3">
        <v>197</v>
      </c>
    </row>
    <row r="542" spans="1:7" ht="14.25">
      <c r="A542" s="3" t="str">
        <f>T("30506795")</f>
        <v>30506795</v>
      </c>
      <c r="B542" s="14" t="s">
        <v>3848</v>
      </c>
      <c r="C542" s="3" t="s">
        <v>547</v>
      </c>
      <c r="D542" s="3" t="str">
        <f>T("蔣廣學. 主編")</f>
        <v>蔣廣學. 主編</v>
      </c>
      <c r="E542" s="3" t="str">
        <f>T("南京大學")</f>
        <v>南京大學</v>
      </c>
      <c r="F542" s="3">
        <v>63</v>
      </c>
      <c r="G542" s="3">
        <v>378</v>
      </c>
    </row>
    <row r="543" spans="1:7" ht="14.25">
      <c r="A543" s="3" t="str">
        <f>T("30507294")</f>
        <v>30507294</v>
      </c>
      <c r="B543" s="14" t="s">
        <v>3851</v>
      </c>
      <c r="C543" s="3" t="s">
        <v>548</v>
      </c>
      <c r="D543" s="3" t="str">
        <f>T("郭維森")</f>
        <v>郭維森</v>
      </c>
      <c r="E543" s="3" t="str">
        <f>T("南京大學")</f>
        <v>南京大學</v>
      </c>
      <c r="F543" s="3">
        <v>23</v>
      </c>
      <c r="G543" s="3">
        <v>138</v>
      </c>
    </row>
    <row r="544" spans="1:7" ht="14.25">
      <c r="A544" s="3" t="str">
        <f>T("30704473")</f>
        <v>30704473</v>
      </c>
      <c r="B544" s="14" t="s">
        <v>3854</v>
      </c>
      <c r="C544" s="3" t="s">
        <v>549</v>
      </c>
      <c r="D544" s="3" t="str">
        <f>T(".")</f>
        <v>.</v>
      </c>
      <c r="E544" s="3" t="str">
        <f>T("武漢大學")</f>
        <v>武漢大學</v>
      </c>
      <c r="F544" s="3">
        <v>22</v>
      </c>
      <c r="G544" s="3">
        <v>132</v>
      </c>
    </row>
    <row r="545" spans="1:7" ht="14.25">
      <c r="A545" s="3" t="str">
        <f>T("30704484")</f>
        <v>30704484</v>
      </c>
      <c r="B545" s="14" t="s">
        <v>3857</v>
      </c>
      <c r="C545" s="3" t="s">
        <v>550</v>
      </c>
      <c r="D545" s="3" t="str">
        <f>T("陳國恩")</f>
        <v>陳國恩</v>
      </c>
      <c r="E545" s="3" t="str">
        <f>T("武漢大學")</f>
        <v>武漢大學</v>
      </c>
      <c r="F545" s="3">
        <v>18</v>
      </c>
      <c r="G545" s="3">
        <v>108</v>
      </c>
    </row>
    <row r="546" spans="1:7" ht="14.25">
      <c r="A546" s="3" t="str">
        <f>T("30705582")</f>
        <v>30705582</v>
      </c>
      <c r="B546" s="14" t="s">
        <v>3860</v>
      </c>
      <c r="C546" s="3" t="s">
        <v>551</v>
      </c>
      <c r="D546" s="3" t="str">
        <f>T("梅朝榮")</f>
        <v>梅朝榮</v>
      </c>
      <c r="E546" s="3" t="str">
        <f>T("武漢大學")</f>
        <v>武漢大學</v>
      </c>
      <c r="F546" s="3">
        <v>28.8</v>
      </c>
      <c r="G546" s="3">
        <v>173</v>
      </c>
    </row>
    <row r="547" spans="1:7" ht="14.25">
      <c r="A547" s="3" t="str">
        <f>T("30706135")</f>
        <v>30706135</v>
      </c>
      <c r="B547" s="14" t="s">
        <v>3863</v>
      </c>
      <c r="C547" s="3" t="s">
        <v>552</v>
      </c>
      <c r="D547" s="3" t="str">
        <f>T("0")</f>
        <v>0</v>
      </c>
      <c r="E547" s="3" t="str">
        <f>T("武漢大學")</f>
        <v>武漢大學</v>
      </c>
      <c r="F547" s="3">
        <v>66</v>
      </c>
      <c r="G547" s="3">
        <v>396</v>
      </c>
    </row>
    <row r="548" spans="1:7" ht="14.25">
      <c r="A548" s="3" t="str">
        <f>T("30706731")</f>
        <v>30706731</v>
      </c>
      <c r="B548" s="14" t="s">
        <v>3866</v>
      </c>
      <c r="C548" s="3" t="s">
        <v>553</v>
      </c>
      <c r="D548" s="3" t="str">
        <f>T("朱東潤")</f>
        <v>朱東潤</v>
      </c>
      <c r="E548" s="3" t="str">
        <f>T("武漢大學")</f>
        <v>武漢大學</v>
      </c>
      <c r="F548" s="3">
        <v>36</v>
      </c>
      <c r="G548" s="3">
        <v>216</v>
      </c>
    </row>
    <row r="549" spans="1:7" ht="14.25">
      <c r="A549" s="3" t="str">
        <f>T("30706878")</f>
        <v>30706878</v>
      </c>
      <c r="B549" s="14" t="s">
        <v>3869</v>
      </c>
      <c r="C549" s="3" t="s">
        <v>554</v>
      </c>
      <c r="D549" s="3" t="str">
        <f>T("朱東潤")</f>
        <v>朱東潤</v>
      </c>
      <c r="E549" s="3" t="str">
        <f>T("武漢大學")</f>
        <v>武漢大學</v>
      </c>
      <c r="F549" s="3">
        <v>68</v>
      </c>
      <c r="G549" s="3">
        <v>408</v>
      </c>
    </row>
    <row r="550" spans="1:7" ht="14.25">
      <c r="A550" s="3" t="str">
        <f>T("30706973")</f>
        <v>30706973</v>
      </c>
      <c r="B550" s="14" t="s">
        <v>3871</v>
      </c>
      <c r="C550" s="3" t="s">
        <v>555</v>
      </c>
      <c r="D550" s="3" t="str">
        <f>T("餘來明")</f>
        <v>餘來明</v>
      </c>
      <c r="E550" s="3" t="str">
        <f>T("武漢大學")</f>
        <v>武漢大學</v>
      </c>
      <c r="F550" s="3">
        <v>68</v>
      </c>
      <c r="G550" s="3">
        <v>408</v>
      </c>
    </row>
    <row r="551" spans="1:7" ht="14.25">
      <c r="A551" s="3" t="str">
        <f>T("30706975")</f>
        <v>30706975</v>
      </c>
      <c r="B551" s="14" t="s">
        <v>3874</v>
      </c>
      <c r="C551" s="3" t="s">
        <v>556</v>
      </c>
      <c r="D551" s="3" t="str">
        <f>T("王又平")</f>
        <v>王又平</v>
      </c>
      <c r="E551" s="3" t="str">
        <f>T("武漢大學")</f>
        <v>武漢大學</v>
      </c>
      <c r="F551" s="3">
        <v>39.8</v>
      </c>
      <c r="G551" s="3">
        <v>239</v>
      </c>
    </row>
    <row r="552" spans="1:7" ht="14.25">
      <c r="A552" s="3" t="str">
        <f>T("30707538")</f>
        <v>30707538</v>
      </c>
      <c r="B552" s="14" t="s">
        <v>3877</v>
      </c>
      <c r="C552" s="3" t="s">
        <v>557</v>
      </c>
      <c r="D552" s="3" t="str">
        <f>T("北地舞人")</f>
        <v>北地舞人</v>
      </c>
      <c r="E552" s="3" t="str">
        <f>T("武漢大學")</f>
        <v>武漢大學</v>
      </c>
      <c r="F552" s="3">
        <v>34.8</v>
      </c>
      <c r="G552" s="3">
        <v>209</v>
      </c>
    </row>
    <row r="553" spans="1:7" ht="14.25">
      <c r="A553" s="3" t="str">
        <f>T("30707573")</f>
        <v>30707573</v>
      </c>
      <c r="B553" s="14" t="s">
        <v>3880</v>
      </c>
      <c r="C553" s="3" t="s">
        <v>558</v>
      </c>
      <c r="D553" s="3" t="str">
        <f>T("吳良寶")</f>
        <v>吳良寶</v>
      </c>
      <c r="E553" s="3" t="str">
        <f>T("武漢大學")</f>
        <v>武漢大學</v>
      </c>
      <c r="F553" s="3">
        <v>50</v>
      </c>
      <c r="G553" s="3">
        <v>300</v>
      </c>
    </row>
    <row r="554" spans="1:7" ht="14.25">
      <c r="A554" s="3" t="str">
        <f>T("30803503")</f>
        <v>30803503</v>
      </c>
      <c r="B554" s="14" t="s">
        <v>3883</v>
      </c>
      <c r="C554" s="3" t="s">
        <v>559</v>
      </c>
      <c r="D554" s="3">
        <f>T("")</f>
      </c>
      <c r="E554" s="3" t="str">
        <f>T("浙江大學")</f>
        <v>浙江大學</v>
      </c>
      <c r="F554" s="3">
        <v>42</v>
      </c>
      <c r="G554" s="3">
        <v>252</v>
      </c>
    </row>
    <row r="555" spans="1:7" ht="14.25">
      <c r="A555" s="3" t="str">
        <f>T("30804734")</f>
        <v>30804734</v>
      </c>
      <c r="B555" s="14" t="s">
        <v>3886</v>
      </c>
      <c r="C555" s="3" t="s">
        <v>560</v>
      </c>
      <c r="D555" s="3" t="str">
        <f>T("姚江波")</f>
        <v>姚江波</v>
      </c>
      <c r="E555" s="3" t="str">
        <f>T("浙江大學")</f>
        <v>浙江大學</v>
      </c>
      <c r="F555" s="3">
        <v>39</v>
      </c>
      <c r="G555" s="3">
        <v>228</v>
      </c>
    </row>
    <row r="556" spans="1:7" ht="14.25">
      <c r="A556" s="3" t="str">
        <f>T("30804769")</f>
        <v>30804769</v>
      </c>
      <c r="B556" s="14" t="s">
        <v>3889</v>
      </c>
      <c r="C556" s="3" t="s">
        <v>561</v>
      </c>
      <c r="D556" s="3" t="str">
        <f>T("彭萬隆")</f>
        <v>彭萬隆</v>
      </c>
      <c r="E556" s="3" t="str">
        <f>T("浙江大學")</f>
        <v>浙江大學</v>
      </c>
      <c r="F556" s="3">
        <v>50</v>
      </c>
      <c r="G556" s="3">
        <v>300</v>
      </c>
    </row>
    <row r="557" spans="1:7" ht="14.25">
      <c r="A557" s="3" t="str">
        <f>T("30805982")</f>
        <v>30805982</v>
      </c>
      <c r="B557" s="14" t="s">
        <v>3892</v>
      </c>
      <c r="C557" s="3" t="s">
        <v>562</v>
      </c>
      <c r="D557" s="3" t="str">
        <f>T("王煥鑣")</f>
        <v>王煥鑣</v>
      </c>
      <c r="E557" s="3" t="str">
        <f>T("浙江大學")</f>
        <v>浙江大學</v>
      </c>
      <c r="F557" s="3">
        <v>62</v>
      </c>
      <c r="G557" s="3">
        <v>372</v>
      </c>
    </row>
    <row r="558" spans="1:7" ht="14.25">
      <c r="A558" s="3" t="str">
        <f>T("30807909")</f>
        <v>30807909</v>
      </c>
      <c r="B558" s="14" t="s">
        <v>3895</v>
      </c>
      <c r="C558" s="3" t="s">
        <v>563</v>
      </c>
      <c r="D558" s="3" t="str">
        <f>T("潘競賢")</f>
        <v>潘競賢</v>
      </c>
      <c r="E558" s="3" t="str">
        <f>T("浙江大學")</f>
        <v>浙江大學</v>
      </c>
      <c r="F558" s="3">
        <v>42</v>
      </c>
      <c r="G558" s="3">
        <v>252</v>
      </c>
    </row>
    <row r="559" spans="1:7" ht="14.25">
      <c r="A559" s="3" t="str">
        <f>T("30902516")</f>
        <v>30902516</v>
      </c>
      <c r="B559" s="14" t="s">
        <v>3898</v>
      </c>
      <c r="C559" s="3" t="s">
        <v>564</v>
      </c>
      <c r="D559" s="3" t="str">
        <f>T("顏志剛")</f>
        <v>顏志剛</v>
      </c>
      <c r="E559" s="3" t="str">
        <f>T("復旦大學")</f>
        <v>復旦大學</v>
      </c>
      <c r="F559" s="3">
        <v>26</v>
      </c>
      <c r="G559" s="3">
        <v>156</v>
      </c>
    </row>
    <row r="560" spans="1:7" ht="14.25">
      <c r="A560" s="3" t="str">
        <f>T("30903819")</f>
        <v>30903819</v>
      </c>
      <c r="B560" s="14" t="s">
        <v>3902</v>
      </c>
      <c r="C560" s="3" t="s">
        <v>565</v>
      </c>
      <c r="D560" s="3" t="str">
        <f>T("黃忠敬")</f>
        <v>黃忠敬</v>
      </c>
      <c r="E560" s="3" t="str">
        <f>T("復旦大學")</f>
        <v>復旦大學</v>
      </c>
      <c r="F560" s="3">
        <v>15</v>
      </c>
      <c r="G560" s="3">
        <v>90</v>
      </c>
    </row>
    <row r="561" spans="1:7" ht="14.25">
      <c r="A561" s="3" t="str">
        <f>T("30903968")</f>
        <v>30903968</v>
      </c>
      <c r="B561" s="14" t="s">
        <v>3905</v>
      </c>
      <c r="C561" s="3" t="s">
        <v>566</v>
      </c>
      <c r="D561" s="3" t="str">
        <f>T("陳思和")</f>
        <v>陳思和</v>
      </c>
      <c r="E561" s="3" t="str">
        <f>T("復旦大學")</f>
        <v>復旦大學</v>
      </c>
      <c r="F561" s="3">
        <v>16</v>
      </c>
      <c r="G561" s="3">
        <v>96</v>
      </c>
    </row>
    <row r="562" spans="1:7" ht="14.25">
      <c r="A562" s="3" t="str">
        <f>T("30904124")</f>
        <v>30904124</v>
      </c>
      <c r="B562" s="14" t="s">
        <v>3908</v>
      </c>
      <c r="C562" s="3" t="s">
        <v>567</v>
      </c>
      <c r="D562" s="3" t="str">
        <f>T("程曼麗")</f>
        <v>程曼麗</v>
      </c>
      <c r="E562" s="3" t="str">
        <f>T("復旦大學")</f>
        <v>復旦大學</v>
      </c>
      <c r="F562" s="3">
        <v>29</v>
      </c>
      <c r="G562" s="3">
        <v>174</v>
      </c>
    </row>
    <row r="563" spans="1:7" ht="14.25">
      <c r="A563" s="3" t="str">
        <f>T("30904461")</f>
        <v>30904461</v>
      </c>
      <c r="B563" s="14" t="s">
        <v>3911</v>
      </c>
      <c r="C563" s="3" t="s">
        <v>568</v>
      </c>
      <c r="D563" s="3" t="str">
        <f>T("王朝聞")</f>
        <v>王朝聞</v>
      </c>
      <c r="E563" s="3" t="str">
        <f>T("復旦大學")</f>
        <v>復旦大學</v>
      </c>
      <c r="F563" s="3">
        <v>19.8</v>
      </c>
      <c r="G563" s="3">
        <v>119</v>
      </c>
    </row>
    <row r="564" spans="1:7" ht="14.25">
      <c r="A564" s="3" t="str">
        <f>T("30904490")</f>
        <v>30904490</v>
      </c>
      <c r="B564" s="14" t="s">
        <v>3914</v>
      </c>
      <c r="C564" s="3" t="s">
        <v>569</v>
      </c>
      <c r="D564" s="3" t="str">
        <f>T("薛中軍")</f>
        <v>薛中軍</v>
      </c>
      <c r="E564" s="3" t="str">
        <f>T("復旦大學")</f>
        <v>復旦大學</v>
      </c>
      <c r="F564" s="3">
        <v>19.8</v>
      </c>
      <c r="G564" s="3">
        <v>119</v>
      </c>
    </row>
    <row r="565" spans="1:7" ht="14.25">
      <c r="A565" s="3" t="str">
        <f>T("30904566")</f>
        <v>30904566</v>
      </c>
      <c r="B565" s="14" t="s">
        <v>3917</v>
      </c>
      <c r="C565" s="3" t="s">
        <v>570</v>
      </c>
      <c r="D565" s="3" t="str">
        <f>T("陳正宏 梁穎")</f>
        <v>陳正宏 梁穎</v>
      </c>
      <c r="E565" s="3" t="str">
        <f>T("復旦大學")</f>
        <v>復旦大學</v>
      </c>
      <c r="F565" s="3">
        <v>35</v>
      </c>
      <c r="G565" s="3">
        <v>210</v>
      </c>
    </row>
    <row r="566" spans="1:7" ht="14.25">
      <c r="A566" s="3" t="str">
        <f>T("30904597")</f>
        <v>30904597</v>
      </c>
      <c r="B566" s="14" t="s">
        <v>3920</v>
      </c>
      <c r="C566" s="3" t="s">
        <v>571</v>
      </c>
      <c r="D566" s="3" t="str">
        <f>T("方平")</f>
        <v>方平</v>
      </c>
      <c r="E566" s="3" t="str">
        <f>T("復旦大學")</f>
        <v>復旦大學</v>
      </c>
      <c r="F566" s="3">
        <v>22</v>
      </c>
      <c r="G566" s="3">
        <v>132</v>
      </c>
    </row>
    <row r="567" spans="1:7" ht="14.25">
      <c r="A567" s="3" t="str">
        <f>T("30904629")</f>
        <v>30904629</v>
      </c>
      <c r="B567" s="14" t="s">
        <v>3923</v>
      </c>
      <c r="C567" s="3" t="s">
        <v>572</v>
      </c>
      <c r="D567" s="3" t="str">
        <f>T("BOB")</f>
        <v>BOB</v>
      </c>
      <c r="E567" s="3" t="str">
        <f>T("復旦大學")</f>
        <v>復旦大學</v>
      </c>
      <c r="F567" s="3">
        <v>18</v>
      </c>
      <c r="G567" s="3">
        <v>108</v>
      </c>
    </row>
    <row r="568" spans="1:7" ht="14.25">
      <c r="A568" s="3" t="str">
        <f>T("30904827")</f>
        <v>30904827</v>
      </c>
      <c r="B568" s="14" t="s">
        <v>3926</v>
      </c>
      <c r="C568" s="3" t="s">
        <v>573</v>
      </c>
      <c r="D568" s="3" t="str">
        <f>T("(美)喬伊.哈克姆")</f>
        <v>(美)喬伊.哈克姆</v>
      </c>
      <c r="E568" s="3" t="str">
        <f>T("復旦大學")</f>
        <v>復旦大學</v>
      </c>
      <c r="F568" s="3">
        <v>68</v>
      </c>
      <c r="G568" s="3">
        <v>408</v>
      </c>
    </row>
    <row r="569" spans="1:7" ht="14.25">
      <c r="A569" s="3" t="str">
        <f>T("30905003")</f>
        <v>30905003</v>
      </c>
      <c r="B569" s="14" t="s">
        <v>3929</v>
      </c>
      <c r="C569" s="3" t="s">
        <v>574</v>
      </c>
      <c r="D569" s="3" t="str">
        <f>T("喬國強")</f>
        <v>喬國強</v>
      </c>
      <c r="E569" s="3" t="str">
        <f>T("復旦大學")</f>
        <v>復旦大學</v>
      </c>
      <c r="F569" s="3">
        <v>68</v>
      </c>
      <c r="G569" s="3">
        <v>408</v>
      </c>
    </row>
    <row r="570" spans="1:7" ht="14.25">
      <c r="A570" s="3" t="str">
        <f>T("30905062")</f>
        <v>30905062</v>
      </c>
      <c r="B570" s="14" t="s">
        <v>3932</v>
      </c>
      <c r="C570" s="3" t="s">
        <v>575</v>
      </c>
      <c r="D570" s="3" t="str">
        <f>T("廬隱")</f>
        <v>廬隱</v>
      </c>
      <c r="E570" s="3" t="str">
        <f>T("復旦大學")</f>
        <v>復旦大學</v>
      </c>
      <c r="F570" s="3">
        <v>18</v>
      </c>
      <c r="G570" s="3">
        <v>108</v>
      </c>
    </row>
    <row r="571" spans="1:7" ht="14.25">
      <c r="A571" s="3" t="str">
        <f>T("30905296")</f>
        <v>30905296</v>
      </c>
      <c r="B571" s="14" t="s">
        <v>3935</v>
      </c>
      <c r="C571" s="3" t="s">
        <v>576</v>
      </c>
      <c r="D571" s="3" t="str">
        <f>T("王光東")</f>
        <v>王光東</v>
      </c>
      <c r="E571" s="3" t="str">
        <f>T("復旦大學")</f>
        <v>復旦大學</v>
      </c>
      <c r="F571" s="3">
        <v>20</v>
      </c>
      <c r="G571" s="3">
        <v>120</v>
      </c>
    </row>
    <row r="572" spans="1:7" ht="14.25">
      <c r="A572" s="3" t="str">
        <f>T("30906445")</f>
        <v>30906445</v>
      </c>
      <c r="B572" s="14" t="s">
        <v>3938</v>
      </c>
      <c r="C572" s="3" t="s">
        <v>577</v>
      </c>
      <c r="D572" s="3" t="str">
        <f>T("陳思和著")</f>
        <v>陳思和著</v>
      </c>
      <c r="E572" s="3" t="str">
        <f>T("復旦大學")</f>
        <v>復旦大學</v>
      </c>
      <c r="F572" s="3">
        <v>32</v>
      </c>
      <c r="G572" s="3">
        <v>192</v>
      </c>
    </row>
    <row r="573" spans="1:7" ht="14.25">
      <c r="A573" s="3" t="str">
        <f>T("30906483")</f>
        <v>30906483</v>
      </c>
      <c r="B573" s="14" t="s">
        <v>3941</v>
      </c>
      <c r="C573" s="3" t="s">
        <v>578</v>
      </c>
      <c r="D573" s="3" t="str">
        <f>T("駱玉明著")</f>
        <v>駱玉明著</v>
      </c>
      <c r="E573" s="3" t="str">
        <f>T("復旦大學")</f>
        <v>復旦大學</v>
      </c>
      <c r="F573" s="3">
        <v>22</v>
      </c>
      <c r="G573" s="3">
        <v>132</v>
      </c>
    </row>
    <row r="574" spans="1:7" ht="14.25">
      <c r="A574" s="3" t="str">
        <f>T("30906536")</f>
        <v>30906536</v>
      </c>
      <c r="B574" s="14" t="s">
        <v>3944</v>
      </c>
      <c r="C574" s="3" t="s">
        <v>579</v>
      </c>
      <c r="D574" s="3" t="str">
        <f>T("鮑鵬山著")</f>
        <v>鮑鵬山著</v>
      </c>
      <c r="E574" s="3" t="str">
        <f>T("復旦大學")</f>
        <v>復旦大學</v>
      </c>
      <c r="F574" s="3">
        <v>32</v>
      </c>
      <c r="G574" s="3">
        <v>192</v>
      </c>
    </row>
    <row r="575" spans="1:7" ht="14.25">
      <c r="A575" s="3" t="str">
        <f>T("30906604")</f>
        <v>30906604</v>
      </c>
      <c r="B575" s="14" t="s">
        <v>3947</v>
      </c>
      <c r="C575" s="3" t="s">
        <v>580</v>
      </c>
      <c r="D575" s="3" t="str">
        <f>T("李其綱")</f>
        <v>李其綱</v>
      </c>
      <c r="E575" s="3" t="str">
        <f>T("復旦大學")</f>
        <v>復旦大學</v>
      </c>
      <c r="F575" s="3">
        <v>22</v>
      </c>
      <c r="G575" s="3">
        <v>132</v>
      </c>
    </row>
    <row r="576" spans="1:7" ht="14.25">
      <c r="A576" s="3" t="str">
        <f>T("30906805")</f>
        <v>30906805</v>
      </c>
      <c r="B576" s="14" t="s">
        <v>3950</v>
      </c>
      <c r="C576" s="3" t="s">
        <v>581</v>
      </c>
      <c r="D576" s="3" t="str">
        <f>T("證嚴法師")</f>
        <v>證嚴法師</v>
      </c>
      <c r="E576" s="3" t="str">
        <f>T("復旦大學")</f>
        <v>復旦大學</v>
      </c>
      <c r="F576" s="3">
        <v>20</v>
      </c>
      <c r="G576" s="3">
        <v>120</v>
      </c>
    </row>
    <row r="577" spans="1:7" ht="14.25">
      <c r="A577" s="3" t="str">
        <f>T("30906894")</f>
        <v>30906894</v>
      </c>
      <c r="B577" s="14" t="s">
        <v>3953</v>
      </c>
      <c r="C577" s="3" t="s">
        <v>582</v>
      </c>
      <c r="D577" s="3" t="str">
        <f>T("林建發")</f>
        <v>林建發</v>
      </c>
      <c r="E577" s="3" t="str">
        <f>T("復旦大學")</f>
        <v>復旦大學</v>
      </c>
      <c r="F577" s="3">
        <v>88</v>
      </c>
      <c r="G577" s="3">
        <v>528</v>
      </c>
    </row>
    <row r="578" spans="1:7" ht="14.25">
      <c r="A578" s="3" t="str">
        <f>T("30906896")</f>
        <v>30906896</v>
      </c>
      <c r="B578" s="14" t="s">
        <v>3956</v>
      </c>
      <c r="C578" s="3" t="s">
        <v>583</v>
      </c>
      <c r="D578" s="3" t="str">
        <f>T("姜義華")</f>
        <v>姜義華</v>
      </c>
      <c r="E578" s="3" t="str">
        <f>T("復旦大學")</f>
        <v>復旦大學</v>
      </c>
      <c r="F578" s="3">
        <v>32</v>
      </c>
      <c r="G578" s="3">
        <v>192</v>
      </c>
    </row>
    <row r="579" spans="1:7" ht="14.25">
      <c r="A579" s="3" t="str">
        <f>T("30907256")</f>
        <v>30907256</v>
      </c>
      <c r="B579" s="14" t="s">
        <v>3959</v>
      </c>
      <c r="C579" s="3" t="s">
        <v>584</v>
      </c>
      <c r="D579" s="3" t="str">
        <f>T("錢乘旦. 著")</f>
        <v>錢乘旦. 著</v>
      </c>
      <c r="E579" s="3" t="str">
        <f>T("復旦大學")</f>
        <v>復旦大學</v>
      </c>
      <c r="F579" s="3">
        <v>34</v>
      </c>
      <c r="G579" s="3">
        <v>204</v>
      </c>
    </row>
    <row r="580" spans="1:7" ht="14.25">
      <c r="A580" s="3" t="str">
        <f>T("30907477")</f>
        <v>30907477</v>
      </c>
      <c r="B580" s="14" t="s">
        <v>3962</v>
      </c>
      <c r="C580" s="3" t="s">
        <v>585</v>
      </c>
      <c r="D580" s="3" t="str">
        <f>T("何光滬. 著")</f>
        <v>何光滬. 著</v>
      </c>
      <c r="E580" s="3" t="str">
        <f>T("復旦大學")</f>
        <v>復旦大學</v>
      </c>
      <c r="F580" s="3">
        <v>35</v>
      </c>
      <c r="G580" s="3">
        <v>210</v>
      </c>
    </row>
    <row r="581" spans="1:7" ht="14.25">
      <c r="A581" s="3" t="str">
        <f>T("31001753")</f>
        <v>31001753</v>
      </c>
      <c r="B581" s="14" t="s">
        <v>3965</v>
      </c>
      <c r="C581" s="3" t="s">
        <v>586</v>
      </c>
      <c r="D581" s="3" t="str">
        <f>T("喬以鋼著")</f>
        <v>喬以鋼著</v>
      </c>
      <c r="E581" s="3" t="str">
        <f>T("南開大學")</f>
        <v>南開大學</v>
      </c>
      <c r="F581" s="3">
        <v>15</v>
      </c>
      <c r="G581" s="3">
        <v>90</v>
      </c>
    </row>
    <row r="582" spans="1:7" ht="14.25">
      <c r="A582" s="3" t="str">
        <f>T("31003386")</f>
        <v>31003386</v>
      </c>
      <c r="B582" s="14" t="s">
        <v>3969</v>
      </c>
      <c r="C582" s="3" t="s">
        <v>587</v>
      </c>
      <c r="D582" s="3" t="str">
        <f>T("任德魁. 著")</f>
        <v>任德魁. 著</v>
      </c>
      <c r="E582" s="3" t="str">
        <f>T("南開大學")</f>
        <v>南開大學</v>
      </c>
      <c r="F582" s="3">
        <v>40</v>
      </c>
      <c r="G582" s="3">
        <v>240</v>
      </c>
    </row>
    <row r="583" spans="1:7" ht="14.25">
      <c r="A583" s="3" t="str">
        <f>T("31003410")</f>
        <v>31003410</v>
      </c>
      <c r="B583" s="14" t="s">
        <v>3972</v>
      </c>
      <c r="C583" s="3" t="s">
        <v>588</v>
      </c>
      <c r="D583" s="3" t="str">
        <f>T("張莉. 著")</f>
        <v>張莉. 著</v>
      </c>
      <c r="E583" s="3" t="str">
        <f>T("南開大學")</f>
        <v>南開大學</v>
      </c>
      <c r="F583" s="3">
        <v>38</v>
      </c>
      <c r="G583" s="3">
        <v>228</v>
      </c>
    </row>
    <row r="584" spans="1:7" ht="14.25">
      <c r="A584" s="3" t="str">
        <f>T("31003416")</f>
        <v>31003416</v>
      </c>
      <c r="B584" s="14" t="s">
        <v>3975</v>
      </c>
      <c r="C584" s="3" t="s">
        <v>589</v>
      </c>
      <c r="D584" s="3" t="str">
        <f>T("吳克祥. 曾婷婷. 編著")</f>
        <v>吳克祥. 曾婷婷. 編著</v>
      </c>
      <c r="E584" s="3" t="str">
        <f>T("南開大學")</f>
        <v>南開大學</v>
      </c>
      <c r="F584" s="3">
        <v>35</v>
      </c>
      <c r="G584" s="3">
        <v>210</v>
      </c>
    </row>
    <row r="585" spans="1:7" ht="14.25">
      <c r="A585" s="3" t="str">
        <f>T("31305743")</f>
        <v>31305743</v>
      </c>
      <c r="B585" s="14" t="s">
        <v>3978</v>
      </c>
      <c r="C585" s="3" t="s">
        <v>590</v>
      </c>
      <c r="D585" s="3" t="str">
        <f>T("羅伯特·科爾著")</f>
        <v>羅伯特·科爾著</v>
      </c>
      <c r="E585" s="3" t="str">
        <f>T("上海交大")</f>
        <v>上海交大</v>
      </c>
      <c r="F585" s="3">
        <v>30</v>
      </c>
      <c r="G585" s="3">
        <v>180</v>
      </c>
    </row>
    <row r="586" spans="1:7" ht="14.25">
      <c r="A586" s="3" t="str">
        <f>T("31306370")</f>
        <v>31306370</v>
      </c>
      <c r="B586" s="14" t="s">
        <v>3982</v>
      </c>
      <c r="C586" s="3" t="s">
        <v>591</v>
      </c>
      <c r="D586" s="3" t="str">
        <f>T("張亞祥. 著")</f>
        <v>張亞祥. 著</v>
      </c>
      <c r="E586" s="3" t="str">
        <f>T("上海交大")</f>
        <v>上海交大</v>
      </c>
      <c r="F586" s="3">
        <v>88</v>
      </c>
      <c r="G586" s="3">
        <v>528</v>
      </c>
    </row>
    <row r="587" spans="1:7" ht="14.25">
      <c r="A587" s="3" t="str">
        <f>T("50007823")</f>
        <v>50007823</v>
      </c>
      <c r="B587" s="14" t="s">
        <v>3985</v>
      </c>
      <c r="C587" s="3" t="s">
        <v>592</v>
      </c>
      <c r="D587" s="3" t="str">
        <f>T("江一帆")</f>
        <v>江一帆</v>
      </c>
      <c r="E587" s="3" t="str">
        <f>T("中國大百科")</f>
        <v>中國大百科</v>
      </c>
      <c r="F587" s="3">
        <v>28</v>
      </c>
      <c r="G587" s="3">
        <v>168</v>
      </c>
    </row>
    <row r="588" spans="1:7" ht="14.25">
      <c r="A588" s="3" t="str">
        <f>T("50007904")</f>
        <v>50007904</v>
      </c>
      <c r="B588" s="14" t="s">
        <v>3989</v>
      </c>
      <c r="C588" s="3" t="s">
        <v>593</v>
      </c>
      <c r="D588" s="3" t="str">
        <f>T("編委")</f>
        <v>編委</v>
      </c>
      <c r="E588" s="3" t="str">
        <f>T("中國大百科")</f>
        <v>中國大百科</v>
      </c>
      <c r="F588" s="3">
        <v>38</v>
      </c>
      <c r="G588" s="3">
        <v>228</v>
      </c>
    </row>
    <row r="589" spans="1:7" ht="14.25">
      <c r="A589" s="3" t="str">
        <f>T("50007915")</f>
        <v>50007915</v>
      </c>
      <c r="B589" s="14" t="s">
        <v>3991</v>
      </c>
      <c r="C589" s="3" t="s">
        <v>594</v>
      </c>
      <c r="D589" s="3" t="str">
        <f>T("編委")</f>
        <v>編委</v>
      </c>
      <c r="E589" s="3" t="str">
        <f>T("中國大百科")</f>
        <v>中國大百科</v>
      </c>
      <c r="F589" s="3">
        <v>28</v>
      </c>
      <c r="G589" s="3">
        <v>168</v>
      </c>
    </row>
    <row r="590" spans="1:7" ht="14.25">
      <c r="A590" s="3" t="str">
        <f>T("50007917")</f>
        <v>50007917</v>
      </c>
      <c r="B590" s="14" t="s">
        <v>3993</v>
      </c>
      <c r="C590" s="3" t="s">
        <v>595</v>
      </c>
      <c r="D590" s="3" t="str">
        <f>T("編委")</f>
        <v>編委</v>
      </c>
      <c r="E590" s="3" t="str">
        <f>T("中國大百科")</f>
        <v>中國大百科</v>
      </c>
      <c r="F590" s="3">
        <v>28</v>
      </c>
      <c r="G590" s="3">
        <v>168</v>
      </c>
    </row>
    <row r="591" spans="1:7" ht="14.25">
      <c r="A591" s="3" t="str">
        <f>T("50007986")</f>
        <v>50007986</v>
      </c>
      <c r="B591" s="14" t="s">
        <v>3995</v>
      </c>
      <c r="C591" s="3" t="s">
        <v>596</v>
      </c>
      <c r="D591" s="3" t="str">
        <f>T("編委")</f>
        <v>編委</v>
      </c>
      <c r="E591" s="3" t="str">
        <f>T("中國大百科")</f>
        <v>中國大百科</v>
      </c>
      <c r="F591" s="3">
        <v>28</v>
      </c>
      <c r="G591" s="3">
        <v>168</v>
      </c>
    </row>
    <row r="592" spans="1:7" ht="14.25">
      <c r="A592" s="3" t="str">
        <f>T("50008053")</f>
        <v>50008053</v>
      </c>
      <c r="B592" s="14" t="s">
        <v>3997</v>
      </c>
      <c r="C592" s="3" t="s">
        <v>597</v>
      </c>
      <c r="D592" s="3" t="str">
        <f>T("編委")</f>
        <v>編委</v>
      </c>
      <c r="E592" s="3" t="str">
        <f>T("中國大百科")</f>
        <v>中國大百科</v>
      </c>
      <c r="F592" s="3">
        <v>28</v>
      </c>
      <c r="G592" s="3">
        <v>168</v>
      </c>
    </row>
    <row r="593" spans="1:7" ht="14.25">
      <c r="A593" s="3" t="str">
        <f>T("50044433")</f>
        <v>50044433</v>
      </c>
      <c r="B593" s="14" t="s">
        <v>3999</v>
      </c>
      <c r="C593" s="3" t="s">
        <v>598</v>
      </c>
      <c r="D593" s="3" t="str">
        <f>T("淩浩")</f>
        <v>淩浩</v>
      </c>
      <c r="E593" s="3" t="str">
        <f>T("中國社科")</f>
        <v>中國社科</v>
      </c>
      <c r="F593" s="3">
        <v>20</v>
      </c>
      <c r="G593" s="3">
        <v>120</v>
      </c>
    </row>
    <row r="594" spans="1:7" ht="14.25">
      <c r="A594" s="3" t="str">
        <f>T("50045485")</f>
        <v>50045485</v>
      </c>
      <c r="B594" s="14" t="s">
        <v>4003</v>
      </c>
      <c r="C594" s="3" t="s">
        <v>599</v>
      </c>
      <c r="D594" s="3" t="str">
        <f>T("王  傑著")</f>
        <v>王  傑著</v>
      </c>
      <c r="E594" s="3" t="str">
        <f>T("中國社科")</f>
        <v>中國社科</v>
      </c>
      <c r="F594" s="3">
        <v>19</v>
      </c>
      <c r="G594" s="3">
        <v>114</v>
      </c>
    </row>
    <row r="595" spans="1:7" ht="14.25">
      <c r="A595" s="3" t="str">
        <f>T("50046206")</f>
        <v>50046206</v>
      </c>
      <c r="B595" s="14" t="s">
        <v>4006</v>
      </c>
      <c r="C595" s="3" t="s">
        <v>600</v>
      </c>
      <c r="D595" s="3" t="str">
        <f>T("李先國")</f>
        <v>李先國</v>
      </c>
      <c r="E595" s="3" t="str">
        <f>T("中國社科")</f>
        <v>中國社科</v>
      </c>
      <c r="F595" s="3">
        <v>22</v>
      </c>
      <c r="G595" s="3">
        <v>132</v>
      </c>
    </row>
    <row r="596" spans="1:7" ht="14.25">
      <c r="A596" s="3" t="str">
        <f>T("50046256")</f>
        <v>50046256</v>
      </c>
      <c r="B596" s="14" t="s">
        <v>4009</v>
      </c>
      <c r="C596" s="3" t="s">
        <v>601</v>
      </c>
      <c r="D596" s="3" t="str">
        <f>T("熊家良")</f>
        <v>熊家良</v>
      </c>
      <c r="E596" s="3" t="str">
        <f>T("中國社科")</f>
        <v>中國社科</v>
      </c>
      <c r="F596" s="3">
        <v>24</v>
      </c>
      <c r="G596" s="3">
        <v>144</v>
      </c>
    </row>
    <row r="597" spans="1:7" ht="14.25">
      <c r="A597" s="3" t="str">
        <f>T("50046842")</f>
        <v>50046842</v>
      </c>
      <c r="B597" s="14" t="s">
        <v>4012</v>
      </c>
      <c r="C597" s="3" t="s">
        <v>602</v>
      </c>
      <c r="D597" s="3" t="str">
        <f>T("劉永麗")</f>
        <v>劉永麗</v>
      </c>
      <c r="E597" s="3" t="str">
        <f>T("中國社科")</f>
        <v>中國社科</v>
      </c>
      <c r="F597" s="3">
        <v>24</v>
      </c>
      <c r="G597" s="3">
        <v>144</v>
      </c>
    </row>
    <row r="598" spans="1:7" ht="14.25">
      <c r="A598" s="3" t="str">
        <f>T("50046871")</f>
        <v>50046871</v>
      </c>
      <c r="B598" s="14" t="s">
        <v>4015</v>
      </c>
      <c r="C598" s="3" t="s">
        <v>603</v>
      </c>
      <c r="D598" s="3" t="str">
        <f>T("邱昌員")</f>
        <v>邱昌員</v>
      </c>
      <c r="E598" s="3" t="str">
        <f>T("中國社科")</f>
        <v>中國社科</v>
      </c>
      <c r="F598" s="3">
        <v>39</v>
      </c>
      <c r="G598" s="3">
        <v>234</v>
      </c>
    </row>
    <row r="599" spans="1:7" ht="14.25">
      <c r="A599" s="3" t="str">
        <f>T("50047436")</f>
        <v>50047436</v>
      </c>
      <c r="B599" s="14" t="s">
        <v>4018</v>
      </c>
      <c r="C599" s="3" t="s">
        <v>604</v>
      </c>
      <c r="D599" s="3" t="str">
        <f>T("陳青之")</f>
        <v>陳青之</v>
      </c>
      <c r="E599" s="3" t="str">
        <f>T("中國社科")</f>
        <v>中國社科</v>
      </c>
      <c r="F599" s="3">
        <v>70</v>
      </c>
      <c r="G599" s="3">
        <v>420</v>
      </c>
    </row>
    <row r="600" spans="1:7" ht="14.25">
      <c r="A600" s="3" t="str">
        <f>T("50047501")</f>
        <v>50047501</v>
      </c>
      <c r="B600" s="14" t="s">
        <v>4021</v>
      </c>
      <c r="C600" s="3" t="s">
        <v>605</v>
      </c>
      <c r="D600" s="3" t="str">
        <f>T("老鬼")</f>
        <v>老鬼</v>
      </c>
      <c r="E600" s="3" t="str">
        <f>T("中國社科")</f>
        <v>中國社科</v>
      </c>
      <c r="F600" s="3">
        <v>38</v>
      </c>
      <c r="G600" s="3">
        <v>228</v>
      </c>
    </row>
    <row r="601" spans="1:7" ht="14.25">
      <c r="A601" s="3" t="str">
        <f>T("50047536")</f>
        <v>50047536</v>
      </c>
      <c r="B601" s="14" t="s">
        <v>4024</v>
      </c>
      <c r="C601" s="3" t="s">
        <v>606</v>
      </c>
      <c r="D601" s="3" t="str">
        <f>T("周雪香")</f>
        <v>周雪香</v>
      </c>
      <c r="E601" s="3" t="str">
        <f>T("中國社科")</f>
        <v>中國社科</v>
      </c>
      <c r="F601" s="3">
        <v>50</v>
      </c>
      <c r="G601" s="3">
        <v>300</v>
      </c>
    </row>
    <row r="602" spans="1:7" ht="14.25">
      <c r="A602" s="3" t="str">
        <f>T("50047546")</f>
        <v>50047546</v>
      </c>
      <c r="B602" s="14" t="s">
        <v>4027</v>
      </c>
      <c r="C602" s="3" t="s">
        <v>607</v>
      </c>
      <c r="D602" s="3" t="str">
        <f>T("邵耀武")</f>
        <v>邵耀武</v>
      </c>
      <c r="E602" s="3" t="str">
        <f>T("中國社科")</f>
        <v>中國社科</v>
      </c>
      <c r="F602" s="3">
        <v>40</v>
      </c>
      <c r="G602" s="3">
        <v>240</v>
      </c>
    </row>
    <row r="603" spans="1:7" ht="14.25">
      <c r="A603" s="3" t="str">
        <f>T("50047642")</f>
        <v>50047642</v>
      </c>
      <c r="B603" s="14" t="s">
        <v>4030</v>
      </c>
      <c r="C603" s="3" t="s">
        <v>608</v>
      </c>
      <c r="D603" s="3" t="str">
        <f>T("張明華")</f>
        <v>張明華</v>
      </c>
      <c r="E603" s="3" t="str">
        <f>T("中國社科")</f>
        <v>中國社科</v>
      </c>
      <c r="F603" s="3">
        <v>45</v>
      </c>
      <c r="G603" s="3">
        <v>270</v>
      </c>
    </row>
    <row r="604" spans="1:7" ht="14.25">
      <c r="A604" s="3" t="str">
        <f>T("50047643")</f>
        <v>50047643</v>
      </c>
      <c r="B604" s="14" t="s">
        <v>4032</v>
      </c>
      <c r="C604" s="3" t="s">
        <v>609</v>
      </c>
      <c r="D604" s="3" t="str">
        <f>T("彭多意")</f>
        <v>彭多意</v>
      </c>
      <c r="E604" s="3" t="str">
        <f>T("中國社科")</f>
        <v>中國社科</v>
      </c>
      <c r="F604" s="3">
        <v>60</v>
      </c>
      <c r="G604" s="3">
        <v>360</v>
      </c>
    </row>
    <row r="605" spans="1:7" ht="14.25">
      <c r="A605" s="3" t="str">
        <f>T("50047650")</f>
        <v>50047650</v>
      </c>
      <c r="B605" s="14" t="s">
        <v>4035</v>
      </c>
      <c r="C605" s="3" t="s">
        <v>610</v>
      </c>
      <c r="D605" s="3" t="str">
        <f>T("龐慧著")</f>
        <v>龐慧著</v>
      </c>
      <c r="E605" s="3" t="str">
        <f>T("中國社科")</f>
        <v>中國社科</v>
      </c>
      <c r="F605" s="3">
        <v>35</v>
      </c>
      <c r="G605" s="3">
        <v>210</v>
      </c>
    </row>
    <row r="606" spans="1:7" ht="14.25">
      <c r="A606" s="3" t="str">
        <f>T("50047692")</f>
        <v>50047692</v>
      </c>
      <c r="B606" s="14" t="s">
        <v>4038</v>
      </c>
      <c r="C606" s="3" t="s">
        <v>611</v>
      </c>
      <c r="D606" s="3" t="str">
        <f>T("單周堯")</f>
        <v>單周堯</v>
      </c>
      <c r="E606" s="3" t="str">
        <f>T("中國社科")</f>
        <v>中國社科</v>
      </c>
      <c r="F606" s="3">
        <v>89</v>
      </c>
      <c r="G606" s="3">
        <v>534</v>
      </c>
    </row>
    <row r="607" spans="1:7" ht="14.25">
      <c r="A607" s="3" t="str">
        <f>T("50047723")</f>
        <v>50047723</v>
      </c>
      <c r="B607" s="14" t="s">
        <v>4041</v>
      </c>
      <c r="C607" s="3" t="s">
        <v>612</v>
      </c>
      <c r="D607" s="3" t="str">
        <f>T("田思陽")</f>
        <v>田思陽</v>
      </c>
      <c r="E607" s="3" t="str">
        <f>T("中國社科")</f>
        <v>中國社科</v>
      </c>
      <c r="F607" s="3">
        <v>24</v>
      </c>
      <c r="G607" s="3">
        <v>144</v>
      </c>
    </row>
    <row r="608" spans="1:7" ht="14.25">
      <c r="A608" s="3" t="str">
        <f>T("50047729")</f>
        <v>50047729</v>
      </c>
      <c r="B608" s="14" t="s">
        <v>4044</v>
      </c>
      <c r="C608" s="3" t="s">
        <v>613</v>
      </c>
      <c r="D608" s="3" t="str">
        <f>T("何明")</f>
        <v>何明</v>
      </c>
      <c r="E608" s="3" t="str">
        <f>T("中國社科")</f>
        <v>中國社科</v>
      </c>
      <c r="F608" s="3">
        <v>45</v>
      </c>
      <c r="G608" s="3">
        <v>270</v>
      </c>
    </row>
    <row r="609" spans="1:7" ht="14.25">
      <c r="A609" s="3" t="str">
        <f>T("50048107")</f>
        <v>50048107</v>
      </c>
      <c r="B609" s="14" t="s">
        <v>4047</v>
      </c>
      <c r="C609" s="3" t="s">
        <v>614</v>
      </c>
      <c r="D609" s="3" t="str">
        <f>T("鄭午昌")</f>
        <v>鄭午昌</v>
      </c>
      <c r="E609" s="3" t="str">
        <f>T("中國社科")</f>
        <v>中國社科</v>
      </c>
      <c r="F609" s="3">
        <v>58</v>
      </c>
      <c r="G609" s="3">
        <v>348</v>
      </c>
    </row>
    <row r="610" spans="1:7" ht="14.25">
      <c r="A610" s="3" t="str">
        <f>T("50048130")</f>
        <v>50048130</v>
      </c>
      <c r="B610" s="14" t="s">
        <v>4050</v>
      </c>
      <c r="C610" s="3" t="s">
        <v>615</v>
      </c>
      <c r="D610" s="3" t="str">
        <f>T("李蓉")</f>
        <v>李蓉</v>
      </c>
      <c r="E610" s="3" t="str">
        <f>T("中國社科")</f>
        <v>中國社科</v>
      </c>
      <c r="F610" s="3">
        <v>31</v>
      </c>
      <c r="G610" s="3">
        <v>186</v>
      </c>
    </row>
    <row r="611" spans="1:7" ht="14.25">
      <c r="A611" s="3" t="str">
        <f>T("50048194")</f>
        <v>50048194</v>
      </c>
      <c r="B611" s="14" t="s">
        <v>4053</v>
      </c>
      <c r="C611" s="3" t="s">
        <v>616</v>
      </c>
      <c r="D611" s="3" t="str">
        <f>T("編委")</f>
        <v>編委</v>
      </c>
      <c r="E611" s="3" t="str">
        <f>T("中國社科")</f>
        <v>中國社科</v>
      </c>
      <c r="F611" s="3">
        <v>65</v>
      </c>
      <c r="G611" s="3">
        <v>390</v>
      </c>
    </row>
    <row r="612" spans="1:7" ht="14.25">
      <c r="A612" s="3" t="str">
        <f>T("50048204")</f>
        <v>50048204</v>
      </c>
      <c r="B612" s="14" t="s">
        <v>4055</v>
      </c>
      <c r="C612" s="3" t="s">
        <v>617</v>
      </c>
      <c r="D612" s="3" t="str">
        <f>T("陳勇")</f>
        <v>陳勇</v>
      </c>
      <c r="E612" s="3" t="str">
        <f>T("中國社科")</f>
        <v>中國社科</v>
      </c>
      <c r="F612" s="3">
        <v>45</v>
      </c>
      <c r="G612" s="3">
        <v>270</v>
      </c>
    </row>
    <row r="613" spans="1:7" ht="14.25">
      <c r="A613" s="3" t="str">
        <f>T("50048269")</f>
        <v>50048269</v>
      </c>
      <c r="B613" s="14" t="s">
        <v>4058</v>
      </c>
      <c r="C613" s="3" t="s">
        <v>618</v>
      </c>
      <c r="D613" s="3" t="str">
        <f>T("張啟華")</f>
        <v>張啟華</v>
      </c>
      <c r="E613" s="3" t="str">
        <f>T("中國社科")</f>
        <v>中國社科</v>
      </c>
      <c r="F613" s="3">
        <v>55</v>
      </c>
      <c r="G613" s="3">
        <v>330</v>
      </c>
    </row>
    <row r="614" spans="1:7" ht="14.25">
      <c r="A614" s="3" t="str">
        <f>T("50048297")</f>
        <v>50048297</v>
      </c>
      <c r="B614" s="14" t="s">
        <v>4061</v>
      </c>
      <c r="C614" s="3" t="s">
        <v>619</v>
      </c>
      <c r="D614" s="3" t="str">
        <f>T("鍾肇鵬")</f>
        <v>鍾肇鵬</v>
      </c>
      <c r="E614" s="3" t="str">
        <f>T("中國社科")</f>
        <v>中國社科</v>
      </c>
      <c r="F614" s="3">
        <v>50</v>
      </c>
      <c r="G614" s="3">
        <v>300</v>
      </c>
    </row>
    <row r="615" spans="1:7" ht="14.25">
      <c r="A615" s="3" t="str">
        <f>T("50048319")</f>
        <v>50048319</v>
      </c>
      <c r="B615" s="14" t="s">
        <v>4064</v>
      </c>
      <c r="C615" s="3" t="s">
        <v>620</v>
      </c>
      <c r="D615" s="3" t="str">
        <f>T("滑明達")</f>
        <v>滑明達</v>
      </c>
      <c r="E615" s="3" t="str">
        <f>T("中國社科")</f>
        <v>中國社科</v>
      </c>
      <c r="F615" s="3">
        <v>24</v>
      </c>
      <c r="G615" s="3">
        <v>144</v>
      </c>
    </row>
    <row r="616" spans="1:7" ht="14.25">
      <c r="A616" s="3" t="str">
        <f>T("50048428")</f>
        <v>50048428</v>
      </c>
      <c r="B616" s="14" t="s">
        <v>4067</v>
      </c>
      <c r="C616" s="3" t="s">
        <v>621</v>
      </c>
      <c r="D616" s="3" t="str">
        <f>T("梁小民")</f>
        <v>梁小民</v>
      </c>
      <c r="E616" s="3" t="str">
        <f>T("中國社科")</f>
        <v>中國社科</v>
      </c>
      <c r="F616" s="3">
        <v>28</v>
      </c>
      <c r="G616" s="3">
        <v>168</v>
      </c>
    </row>
    <row r="617" spans="1:7" ht="14.25">
      <c r="A617" s="3" t="str">
        <f>T("50048446")</f>
        <v>50048446</v>
      </c>
      <c r="B617" s="14" t="s">
        <v>4070</v>
      </c>
      <c r="C617" s="3" t="s">
        <v>622</v>
      </c>
      <c r="D617" s="3" t="str">
        <f>T("劉雲春")</f>
        <v>劉雲春</v>
      </c>
      <c r="E617" s="3" t="str">
        <f>T("中國社科")</f>
        <v>中國社科</v>
      </c>
      <c r="F617" s="3">
        <v>30</v>
      </c>
      <c r="G617" s="3">
        <v>180</v>
      </c>
    </row>
    <row r="618" spans="1:7" ht="14.25">
      <c r="A618" s="3" t="str">
        <f>T("50048478")</f>
        <v>50048478</v>
      </c>
      <c r="B618" s="14" t="s">
        <v>4073</v>
      </c>
      <c r="C618" s="3" t="s">
        <v>623</v>
      </c>
      <c r="D618" s="3" t="str">
        <f>T("李豔紅")</f>
        <v>李豔紅</v>
      </c>
      <c r="E618" s="3" t="str">
        <f>T("中國社科")</f>
        <v>中國社科</v>
      </c>
      <c r="F618" s="3">
        <v>38</v>
      </c>
      <c r="G618" s="3">
        <v>228</v>
      </c>
    </row>
    <row r="619" spans="1:7" ht="14.25">
      <c r="A619" s="3" t="str">
        <f>T("50048496")</f>
        <v>50048496</v>
      </c>
      <c r="B619" s="14" t="s">
        <v>4076</v>
      </c>
      <c r="C619" s="3" t="s">
        <v>624</v>
      </c>
      <c r="D619" s="3" t="str">
        <f>T("孫炯")</f>
        <v>孫炯</v>
      </c>
      <c r="E619" s="3" t="str">
        <f>T("中國社科")</f>
        <v>中國社科</v>
      </c>
      <c r="F619" s="3">
        <v>32</v>
      </c>
      <c r="G619" s="3">
        <v>192</v>
      </c>
    </row>
    <row r="620" spans="1:7" ht="14.25">
      <c r="A620" s="3" t="str">
        <f>T("50048747")</f>
        <v>50048747</v>
      </c>
      <c r="B620" s="14" t="s">
        <v>4079</v>
      </c>
      <c r="C620" s="3" t="s">
        <v>625</v>
      </c>
      <c r="D620" s="3" t="str">
        <f>T("羅蓧玉")</f>
        <v>羅蓧玉</v>
      </c>
      <c r="E620" s="3" t="str">
        <f>T("社會科學")</f>
        <v>社會科學</v>
      </c>
      <c r="F620" s="3">
        <v>27</v>
      </c>
      <c r="G620" s="3">
        <v>162</v>
      </c>
    </row>
    <row r="621" spans="1:7" ht="14.25">
      <c r="A621" s="3" t="str">
        <f>T("50048761")</f>
        <v>50048761</v>
      </c>
      <c r="B621" s="14" t="s">
        <v>4083</v>
      </c>
      <c r="C621" s="3" t="s">
        <v>626</v>
      </c>
      <c r="D621" s="3" t="str">
        <f>T("陳允鋒")</f>
        <v>陳允鋒</v>
      </c>
      <c r="E621" s="3" t="str">
        <f>T("中國社科")</f>
        <v>中國社科</v>
      </c>
      <c r="F621" s="3">
        <v>36</v>
      </c>
      <c r="G621" s="3">
        <v>216</v>
      </c>
    </row>
    <row r="622" spans="1:7" ht="14.25">
      <c r="A622" s="3" t="str">
        <f>T("50048840")</f>
        <v>50048840</v>
      </c>
      <c r="B622" s="14" t="s">
        <v>4086</v>
      </c>
      <c r="C622" s="3" t="s">
        <v>627</v>
      </c>
      <c r="D622" s="3" t="str">
        <f>T("胡大雷")</f>
        <v>胡大雷</v>
      </c>
      <c r="E622" s="3" t="str">
        <f>T("中國社科")</f>
        <v>中國社科</v>
      </c>
      <c r="F622" s="3">
        <v>38</v>
      </c>
      <c r="G622" s="3">
        <v>228</v>
      </c>
    </row>
    <row r="623" spans="1:7" ht="14.25">
      <c r="A623" s="3" t="str">
        <f>T("50049038")</f>
        <v>50049038</v>
      </c>
      <c r="B623" s="14" t="s">
        <v>4089</v>
      </c>
      <c r="C623" s="3" t="s">
        <v>628</v>
      </c>
      <c r="D623" s="3" t="str">
        <f>T("潘智彪")</f>
        <v>潘智彪</v>
      </c>
      <c r="E623" s="3" t="str">
        <f>T("中國社科")</f>
        <v>中國社科</v>
      </c>
      <c r="F623" s="3">
        <v>23</v>
      </c>
      <c r="G623" s="3">
        <v>138</v>
      </c>
    </row>
    <row r="624" spans="1:7" ht="14.25">
      <c r="A624" s="3" t="str">
        <f>T("50049341")</f>
        <v>50049341</v>
      </c>
      <c r="B624" s="14" t="s">
        <v>4092</v>
      </c>
      <c r="C624" s="3" t="s">
        <v>629</v>
      </c>
      <c r="D624" s="3" t="str">
        <f>T("榮新")</f>
        <v>榮新</v>
      </c>
      <c r="E624" s="3" t="str">
        <f>T("中國社科")</f>
        <v>中國社科</v>
      </c>
      <c r="F624" s="3">
        <v>29</v>
      </c>
      <c r="G624" s="3">
        <v>174</v>
      </c>
    </row>
    <row r="625" spans="1:7" ht="14.25">
      <c r="A625" s="3" t="str">
        <f>T("50059431")</f>
        <v>50059431</v>
      </c>
      <c r="B625" s="14" t="s">
        <v>4095</v>
      </c>
      <c r="C625" s="3" t="s">
        <v>630</v>
      </c>
      <c r="D625" s="3" t="str">
        <f>T("萊特")</f>
        <v>萊特</v>
      </c>
      <c r="E625" s="3" t="str">
        <f>T("中國財經")</f>
        <v>中國財經</v>
      </c>
      <c r="F625" s="3">
        <v>39.8</v>
      </c>
      <c r="G625" s="3">
        <v>239</v>
      </c>
    </row>
    <row r="626" spans="1:7" ht="14.25">
      <c r="A626" s="3" t="str">
        <f>T("50065710")</f>
        <v>50065710</v>
      </c>
      <c r="B626" s="14" t="s">
        <v>4099</v>
      </c>
      <c r="C626" s="3" t="s">
        <v>631</v>
      </c>
      <c r="D626" s="3" t="str">
        <f>T("(英)沃布22利克")</f>
        <v>(英)沃布22利克</v>
      </c>
      <c r="E626" s="3" t="str">
        <f>T("中國青年")</f>
        <v>中國青年</v>
      </c>
      <c r="F626" s="3">
        <v>9.8</v>
      </c>
      <c r="G626" s="3">
        <v>59</v>
      </c>
    </row>
    <row r="627" spans="1:7" ht="14.25">
      <c r="A627" s="3" t="str">
        <f>T("50068095")</f>
        <v>50068095</v>
      </c>
      <c r="B627" s="14" t="s">
        <v>4103</v>
      </c>
      <c r="C627" s="3" t="s">
        <v>632</v>
      </c>
      <c r="D627" s="3" t="str">
        <f>T("羅盤")</f>
        <v>羅盤</v>
      </c>
      <c r="E627" s="3" t="str">
        <f>T("中國青年")</f>
        <v>中國青年</v>
      </c>
      <c r="F627" s="3">
        <v>21</v>
      </c>
      <c r="G627" s="3">
        <v>126</v>
      </c>
    </row>
    <row r="628" spans="1:7" ht="14.25">
      <c r="A628" s="3" t="str">
        <f>T("50068336")</f>
        <v>50068336</v>
      </c>
      <c r="B628" s="14" t="s">
        <v>4106</v>
      </c>
      <c r="C628" s="3" t="s">
        <v>633</v>
      </c>
      <c r="D628" s="3" t="str">
        <f>T("羅江南")</f>
        <v>羅江南</v>
      </c>
      <c r="E628" s="3" t="str">
        <f>T("中國青年")</f>
        <v>中國青年</v>
      </c>
      <c r="F628" s="3">
        <v>75</v>
      </c>
      <c r="G628" s="3">
        <v>450</v>
      </c>
    </row>
    <row r="629" spans="1:7" ht="14.25">
      <c r="A629" s="3" t="str">
        <f>T("50068343")</f>
        <v>50068343</v>
      </c>
      <c r="B629" s="14" t="s">
        <v>4109</v>
      </c>
      <c r="C629" s="3" t="s">
        <v>634</v>
      </c>
      <c r="D629" s="3" t="str">
        <f>T("陳祖芬")</f>
        <v>陳祖芬</v>
      </c>
      <c r="E629" s="3" t="str">
        <f>T("中國青年")</f>
        <v>中國青年</v>
      </c>
      <c r="F629" s="3">
        <v>78</v>
      </c>
      <c r="G629" s="3">
        <v>468</v>
      </c>
    </row>
    <row r="630" spans="1:7" ht="14.25">
      <c r="A630" s="3" t="str">
        <f>T("50068408")</f>
        <v>50068408</v>
      </c>
      <c r="B630" s="14" t="s">
        <v>4111</v>
      </c>
      <c r="C630" s="3" t="s">
        <v>635</v>
      </c>
      <c r="D630" s="3" t="str">
        <f>T("楊耀健")</f>
        <v>楊耀健</v>
      </c>
      <c r="E630" s="3" t="str">
        <f>T("中國青年")</f>
        <v>中國青年</v>
      </c>
      <c r="F630" s="3">
        <v>62</v>
      </c>
      <c r="G630" s="3">
        <v>372</v>
      </c>
    </row>
    <row r="631" spans="1:7" ht="14.25">
      <c r="A631" s="3" t="str">
        <f>T("50068417")</f>
        <v>50068417</v>
      </c>
      <c r="B631" s="14" t="s">
        <v>4114</v>
      </c>
      <c r="C631" s="3" t="s">
        <v>636</v>
      </c>
      <c r="D631" s="3" t="str">
        <f>T("盧建文")</f>
        <v>盧建文</v>
      </c>
      <c r="E631" s="3" t="str">
        <f>T("中國青年")</f>
        <v>中國青年</v>
      </c>
      <c r="F631" s="3">
        <v>58</v>
      </c>
      <c r="G631" s="3">
        <v>348</v>
      </c>
    </row>
    <row r="632" spans="1:7" ht="14.25">
      <c r="A632" s="3" t="str">
        <f>T("50068419")</f>
        <v>50068419</v>
      </c>
      <c r="B632" s="14" t="s">
        <v>4117</v>
      </c>
      <c r="C632" s="3" t="s">
        <v>637</v>
      </c>
      <c r="D632" s="3" t="str">
        <f>T("中共寧波市委宣傳部")</f>
        <v>中共寧波市委宣傳部</v>
      </c>
      <c r="E632" s="3" t="str">
        <f>T("中國青年")</f>
        <v>中國青年</v>
      </c>
      <c r="F632" s="3">
        <v>68</v>
      </c>
      <c r="G632" s="3">
        <v>408</v>
      </c>
    </row>
    <row r="633" spans="1:7" ht="14.25">
      <c r="A633" s="3" t="str">
        <f>T("50068455")</f>
        <v>50068455</v>
      </c>
      <c r="B633" s="14" t="s">
        <v>4120</v>
      </c>
      <c r="C633" s="3" t="s">
        <v>638</v>
      </c>
      <c r="D633" s="3" t="str">
        <f>T("南翔")</f>
        <v>南翔</v>
      </c>
      <c r="E633" s="3" t="str">
        <f>T("中國青年")</f>
        <v>中國青年</v>
      </c>
      <c r="F633" s="3">
        <v>75</v>
      </c>
      <c r="G633" s="3">
        <v>450</v>
      </c>
    </row>
    <row r="634" spans="1:7" ht="14.25">
      <c r="A634" s="3" t="str">
        <f>T("50068615")</f>
        <v>50068615</v>
      </c>
      <c r="B634" s="14" t="s">
        <v>4123</v>
      </c>
      <c r="C634" s="3" t="s">
        <v>639</v>
      </c>
      <c r="D634" s="3" t="str">
        <f>T("林美慧著")</f>
        <v>林美慧著</v>
      </c>
      <c r="E634" s="3" t="str">
        <f>T("中國青年")</f>
        <v>中國青年</v>
      </c>
      <c r="F634" s="3">
        <v>38.8</v>
      </c>
      <c r="G634" s="3">
        <v>233</v>
      </c>
    </row>
    <row r="635" spans="1:7" ht="14.25">
      <c r="A635" s="3" t="str">
        <f>T("50084275")</f>
        <v>50084275</v>
      </c>
      <c r="B635" s="14" t="s">
        <v>4126</v>
      </c>
      <c r="C635" s="3" t="s">
        <v>640</v>
      </c>
      <c r="D635" s="3" t="str">
        <f>T("老鐵手")</f>
        <v>老鐵手</v>
      </c>
      <c r="E635" s="3" t="str">
        <f>T("中國工人")</f>
        <v>中國工人</v>
      </c>
      <c r="F635" s="3">
        <v>34.8</v>
      </c>
      <c r="G635" s="3">
        <v>209</v>
      </c>
    </row>
    <row r="636" spans="1:7" ht="14.25">
      <c r="A636" s="3" t="str">
        <f>T("50084413")</f>
        <v>50084413</v>
      </c>
      <c r="B636" s="14" t="s">
        <v>4130</v>
      </c>
      <c r="C636" s="3" t="s">
        <v>641</v>
      </c>
      <c r="D636" s="3" t="str">
        <f>T("飄雪樓主")</f>
        <v>飄雪樓主</v>
      </c>
      <c r="E636" s="3" t="str">
        <f>T("中國工人")</f>
        <v>中國工人</v>
      </c>
      <c r="F636" s="3">
        <v>28</v>
      </c>
      <c r="G636" s="3">
        <v>168</v>
      </c>
    </row>
    <row r="637" spans="1:7" ht="14.25">
      <c r="A637" s="3" t="str">
        <f>T("50084536")</f>
        <v>50084536</v>
      </c>
      <c r="B637" s="14" t="s">
        <v>4133</v>
      </c>
      <c r="C637" s="3" t="s">
        <v>642</v>
      </c>
      <c r="D637" s="3" t="str">
        <f>T("王行國")</f>
        <v>王行國</v>
      </c>
      <c r="E637" s="3" t="str">
        <f>T("中國工人")</f>
        <v>中國工人</v>
      </c>
      <c r="F637" s="3">
        <v>25</v>
      </c>
      <c r="G637" s="3">
        <v>150</v>
      </c>
    </row>
    <row r="638" spans="1:7" ht="14.25">
      <c r="A638" s="3" t="str">
        <f>T("50084537")</f>
        <v>50084537</v>
      </c>
      <c r="B638" s="14" t="s">
        <v>4136</v>
      </c>
      <c r="C638" s="3" t="s">
        <v>643</v>
      </c>
      <c r="D638" s="3" t="str">
        <f>T("白壽蠡")</f>
        <v>白壽蠡</v>
      </c>
      <c r="E638" s="3" t="str">
        <f>T("中國工人")</f>
        <v>中國工人</v>
      </c>
      <c r="F638" s="3">
        <v>35</v>
      </c>
      <c r="G638" s="3">
        <v>210</v>
      </c>
    </row>
    <row r="639" spans="1:7" ht="14.25">
      <c r="A639" s="3" t="str">
        <f>T("50093172")</f>
        <v>50093172</v>
      </c>
      <c r="B639" s="14" t="s">
        <v>4139</v>
      </c>
      <c r="C639" s="3" t="s">
        <v>644</v>
      </c>
      <c r="D639" s="3" t="str">
        <f>T("武兵")</f>
        <v>武兵</v>
      </c>
      <c r="E639" s="3" t="str">
        <f>T("人民體育")</f>
        <v>人民體育</v>
      </c>
      <c r="F639" s="3">
        <v>13</v>
      </c>
      <c r="G639" s="3">
        <v>78</v>
      </c>
    </row>
    <row r="640" spans="1:7" ht="14.25">
      <c r="A640" s="3" t="str">
        <f>T("50101493")</f>
        <v>50101493</v>
      </c>
      <c r="B640" s="14" t="s">
        <v>4143</v>
      </c>
      <c r="C640" s="3" t="s">
        <v>645</v>
      </c>
      <c r="D640" s="3" t="str">
        <f>T("趙書")</f>
        <v>趙書</v>
      </c>
      <c r="E640" s="3" t="str">
        <f>T("文物")</f>
        <v>文物</v>
      </c>
      <c r="F640" s="3"/>
      <c r="G640" s="3">
        <v>75</v>
      </c>
    </row>
    <row r="641" spans="1:7" ht="14.25">
      <c r="A641" s="3" t="str">
        <f>T("50101497")</f>
        <v>50101497</v>
      </c>
      <c r="B641" s="14" t="s">
        <v>4147</v>
      </c>
      <c r="C641" s="3" t="s">
        <v>646</v>
      </c>
      <c r="D641" s="3" t="str">
        <f>T("黃曉峰")</f>
        <v>黃曉峰</v>
      </c>
      <c r="E641" s="3" t="str">
        <f>T("文物")</f>
        <v>文物</v>
      </c>
      <c r="F641" s="3"/>
      <c r="G641" s="3">
        <v>75</v>
      </c>
    </row>
    <row r="642" spans="1:7" ht="14.25">
      <c r="A642" s="3" t="str">
        <f>T("50101499")</f>
        <v>50101499</v>
      </c>
      <c r="B642" s="14" t="s">
        <v>4150</v>
      </c>
      <c r="C642" s="3" t="s">
        <v>647</v>
      </c>
      <c r="D642" s="3" t="str">
        <f>T("劉海青")</f>
        <v>劉海青</v>
      </c>
      <c r="E642" s="3" t="str">
        <f>T("文物")</f>
        <v>文物</v>
      </c>
      <c r="F642" s="3"/>
      <c r="G642" s="3">
        <v>75</v>
      </c>
    </row>
    <row r="643" spans="1:7" ht="14.25">
      <c r="A643" s="3" t="str">
        <f>T("50101500")</f>
        <v>50101500</v>
      </c>
      <c r="B643" s="14" t="s">
        <v>4153</v>
      </c>
      <c r="C643" s="3" t="s">
        <v>648</v>
      </c>
      <c r="D643" s="3" t="str">
        <f>T("李諍")</f>
        <v>李諍</v>
      </c>
      <c r="E643" s="3" t="str">
        <f>T("文物")</f>
        <v>文物</v>
      </c>
      <c r="F643" s="3"/>
      <c r="G643" s="3">
        <v>75</v>
      </c>
    </row>
    <row r="644" spans="1:7" ht="14.25">
      <c r="A644" s="3" t="str">
        <f>T("50101503")</f>
        <v>50101503</v>
      </c>
      <c r="B644" s="14" t="s">
        <v>4156</v>
      </c>
      <c r="C644" s="3" t="s">
        <v>649</v>
      </c>
      <c r="D644" s="3" t="str">
        <f>T("本社")</f>
        <v>本社</v>
      </c>
      <c r="E644" s="3" t="str">
        <f>T("文物")</f>
        <v>文物</v>
      </c>
      <c r="F644" s="3"/>
      <c r="G644" s="3">
        <v>75</v>
      </c>
    </row>
    <row r="645" spans="1:7" ht="14.25">
      <c r="A645" s="3" t="str">
        <f>T("50101504")</f>
        <v>50101504</v>
      </c>
      <c r="B645" s="14" t="s">
        <v>4158</v>
      </c>
      <c r="C645" s="3" t="s">
        <v>650</v>
      </c>
      <c r="D645" s="3" t="str">
        <f>T("本社")</f>
        <v>本社</v>
      </c>
      <c r="E645" s="3" t="str">
        <f>T("文物")</f>
        <v>文物</v>
      </c>
      <c r="F645" s="3"/>
      <c r="G645" s="3">
        <v>75</v>
      </c>
    </row>
    <row r="646" spans="1:7" ht="14.25">
      <c r="A646" s="3" t="str">
        <f>T("50101505")</f>
        <v>50101505</v>
      </c>
      <c r="B646" s="14" t="s">
        <v>4160</v>
      </c>
      <c r="C646" s="3" t="s">
        <v>651</v>
      </c>
      <c r="D646" s="3" t="str">
        <f>T("本社")</f>
        <v>本社</v>
      </c>
      <c r="E646" s="3" t="str">
        <f>T("文物")</f>
        <v>文物</v>
      </c>
      <c r="F646" s="3"/>
      <c r="G646" s="3">
        <v>75</v>
      </c>
    </row>
    <row r="647" spans="1:7" ht="14.25">
      <c r="A647" s="3" t="str">
        <f>T("50101506")</f>
        <v>50101506</v>
      </c>
      <c r="B647" s="14" t="s">
        <v>4162</v>
      </c>
      <c r="C647" s="3" t="s">
        <v>652</v>
      </c>
      <c r="D647" s="3" t="str">
        <f>T("本社")</f>
        <v>本社</v>
      </c>
      <c r="E647" s="3" t="str">
        <f>T("文物")</f>
        <v>文物</v>
      </c>
      <c r="F647" s="3"/>
      <c r="G647" s="3">
        <v>75</v>
      </c>
    </row>
    <row r="648" spans="1:7" ht="14.25">
      <c r="A648" s="3" t="str">
        <f>T("50101576")</f>
        <v>50101576</v>
      </c>
      <c r="B648" s="14" t="s">
        <v>4164</v>
      </c>
      <c r="C648" s="3" t="s">
        <v>653</v>
      </c>
      <c r="D648" s="3" t="str">
        <f>T("張寶章")</f>
        <v>張寶章</v>
      </c>
      <c r="E648" s="3" t="str">
        <f>T("文物")</f>
        <v>文物</v>
      </c>
      <c r="F648" s="3"/>
      <c r="G648" s="3">
        <v>75</v>
      </c>
    </row>
    <row r="649" spans="1:7" ht="14.25">
      <c r="A649" s="3" t="str">
        <f>T("50101577")</f>
        <v>50101577</v>
      </c>
      <c r="B649" s="14" t="s">
        <v>4167</v>
      </c>
      <c r="C649" s="3" t="s">
        <v>654</v>
      </c>
      <c r="D649" s="3" t="str">
        <f>T("韓春鳴")</f>
        <v>韓春鳴</v>
      </c>
      <c r="E649" s="3" t="str">
        <f>T("文物")</f>
        <v>文物</v>
      </c>
      <c r="F649" s="3"/>
      <c r="G649" s="3">
        <v>75</v>
      </c>
    </row>
    <row r="650" spans="1:7" ht="14.25">
      <c r="A650" s="3" t="str">
        <f>T("50101581")</f>
        <v>50101581</v>
      </c>
      <c r="B650" s="14" t="s">
        <v>4170</v>
      </c>
      <c r="C650" s="3" t="s">
        <v>655</v>
      </c>
      <c r="D650" s="3" t="str">
        <f>T("本社")</f>
        <v>本社</v>
      </c>
      <c r="E650" s="3" t="str">
        <f>T("文物")</f>
        <v>文物</v>
      </c>
      <c r="F650" s="3"/>
      <c r="G650" s="3">
        <v>75</v>
      </c>
    </row>
    <row r="651" spans="1:7" ht="14.25">
      <c r="A651" s="3" t="str">
        <f>T("50101587")</f>
        <v>50101587</v>
      </c>
      <c r="B651" s="14" t="s">
        <v>4172</v>
      </c>
      <c r="C651" s="3" t="s">
        <v>656</v>
      </c>
      <c r="D651" s="3" t="str">
        <f>T("楊明珠")</f>
        <v>楊明珠</v>
      </c>
      <c r="E651" s="3" t="str">
        <f>T("文物")</f>
        <v>文物</v>
      </c>
      <c r="F651" s="3"/>
      <c r="G651" s="3">
        <v>90</v>
      </c>
    </row>
    <row r="652" spans="1:7" ht="14.25">
      <c r="A652" s="3" t="str">
        <f>T("50101642")</f>
        <v>50101642</v>
      </c>
      <c r="B652" s="14" t="s">
        <v>4175</v>
      </c>
      <c r="C652" s="3" t="s">
        <v>657</v>
      </c>
      <c r="D652" s="3" t="str">
        <f>T("本社")</f>
        <v>本社</v>
      </c>
      <c r="E652" s="3" t="str">
        <f>T("文物")</f>
        <v>文物</v>
      </c>
      <c r="F652" s="3"/>
      <c r="G652" s="3">
        <v>75</v>
      </c>
    </row>
    <row r="653" spans="1:7" ht="14.25">
      <c r="A653" s="3" t="str">
        <f>T("50101675")</f>
        <v>50101675</v>
      </c>
      <c r="B653" s="14" t="s">
        <v>4177</v>
      </c>
      <c r="C653" s="3" t="s">
        <v>658</v>
      </c>
      <c r="D653" s="3" t="str">
        <f>T("本社")</f>
        <v>本社</v>
      </c>
      <c r="E653" s="3" t="str">
        <f>T("文物")</f>
        <v>文物</v>
      </c>
      <c r="F653" s="3"/>
      <c r="G653" s="3">
        <v>75</v>
      </c>
    </row>
    <row r="654" spans="1:7" ht="14.25">
      <c r="A654" s="3" t="str">
        <f>T("50101693")</f>
        <v>50101693</v>
      </c>
      <c r="B654" s="14" t="s">
        <v>4179</v>
      </c>
      <c r="C654" s="3" t="s">
        <v>659</v>
      </c>
      <c r="D654" s="3" t="str">
        <f>T("本社")</f>
        <v>本社</v>
      </c>
      <c r="E654" s="3" t="str">
        <f>T("文物")</f>
        <v>文物</v>
      </c>
      <c r="F654" s="3">
        <v>400</v>
      </c>
      <c r="G654" s="3">
        <v>2400</v>
      </c>
    </row>
    <row r="655" spans="1:7" ht="14.25">
      <c r="A655" s="3" t="str">
        <f>T("50101703")</f>
        <v>50101703</v>
      </c>
      <c r="B655" s="14" t="s">
        <v>4181</v>
      </c>
      <c r="C655" s="3" t="s">
        <v>660</v>
      </c>
      <c r="D655" s="3" t="str">
        <f>T("本社")</f>
        <v>本社</v>
      </c>
      <c r="E655" s="3" t="str">
        <f>T("文物")</f>
        <v>文物</v>
      </c>
      <c r="F655" s="3"/>
      <c r="G655" s="3">
        <v>75</v>
      </c>
    </row>
    <row r="656" spans="1:7" ht="14.25">
      <c r="A656" s="3" t="str">
        <f>T("50101705")</f>
        <v>50101705</v>
      </c>
      <c r="B656" s="14" t="s">
        <v>4183</v>
      </c>
      <c r="C656" s="3" t="s">
        <v>661</v>
      </c>
      <c r="D656" s="3" t="str">
        <f>T("本社")</f>
        <v>本社</v>
      </c>
      <c r="E656" s="3" t="str">
        <f>T("文物")</f>
        <v>文物</v>
      </c>
      <c r="F656" s="3"/>
      <c r="G656" s="3">
        <v>75</v>
      </c>
    </row>
    <row r="657" spans="1:7" ht="14.25">
      <c r="A657" s="3" t="str">
        <f>T("50101718")</f>
        <v>50101718</v>
      </c>
      <c r="B657" s="14" t="s">
        <v>4185</v>
      </c>
      <c r="C657" s="3" t="s">
        <v>662</v>
      </c>
      <c r="D657" s="3" t="str">
        <f>T("本社")</f>
        <v>本社</v>
      </c>
      <c r="E657" s="3" t="str">
        <f>T("文物")</f>
        <v>文物</v>
      </c>
      <c r="F657" s="3"/>
      <c r="G657" s="3">
        <v>90</v>
      </c>
    </row>
    <row r="658" spans="1:7" ht="14.25">
      <c r="A658" s="3" t="str">
        <f>T("50101719")</f>
        <v>50101719</v>
      </c>
      <c r="B658" s="14" t="s">
        <v>4187</v>
      </c>
      <c r="C658" s="3" t="s">
        <v>663</v>
      </c>
      <c r="D658" s="3" t="str">
        <f>T("本社")</f>
        <v>本社</v>
      </c>
      <c r="E658" s="3" t="str">
        <f>T("文物")</f>
        <v>文物</v>
      </c>
      <c r="F658" s="3"/>
      <c r="G658" s="3">
        <v>90</v>
      </c>
    </row>
    <row r="659" spans="1:7" ht="14.25">
      <c r="A659" s="3" t="str">
        <f>T("50101795")</f>
        <v>50101795</v>
      </c>
      <c r="B659" s="14" t="s">
        <v>4189</v>
      </c>
      <c r="C659" s="3" t="s">
        <v>664</v>
      </c>
      <c r="D659" s="3" t="str">
        <f>T("佛山市博物館")</f>
        <v>佛山市博物館</v>
      </c>
      <c r="E659" s="3" t="str">
        <f>T("文物")</f>
        <v>文物</v>
      </c>
      <c r="F659" s="3"/>
      <c r="G659" s="3">
        <v>290</v>
      </c>
    </row>
    <row r="660" spans="1:7" ht="14.25">
      <c r="A660" s="3" t="str">
        <f>T("50102042")</f>
        <v>50102042</v>
      </c>
      <c r="B660" s="14" t="s">
        <v>4192</v>
      </c>
      <c r="C660" s="3" t="s">
        <v>665</v>
      </c>
      <c r="D660" s="3" t="str">
        <f>T("魏力群")</f>
        <v>魏力群</v>
      </c>
      <c r="E660" s="3" t="str">
        <f>T("文物")</f>
        <v>文物</v>
      </c>
      <c r="F660" s="3">
        <v>85</v>
      </c>
      <c r="G660" s="3">
        <v>510</v>
      </c>
    </row>
    <row r="661" spans="1:7" ht="14.25">
      <c r="A661" s="3" t="str">
        <f>T("50102065")</f>
        <v>50102065</v>
      </c>
      <c r="B661" s="14" t="s">
        <v>4195</v>
      </c>
      <c r="C661" s="3" t="s">
        <v>666</v>
      </c>
      <c r="D661" s="3" t="str">
        <f>T("丁文父")</f>
        <v>丁文父</v>
      </c>
      <c r="E661" s="3" t="str">
        <f>T("文物")</f>
        <v>文物</v>
      </c>
      <c r="F661" s="3">
        <v>68</v>
      </c>
      <c r="G661" s="3">
        <v>408</v>
      </c>
    </row>
    <row r="662" spans="1:7" ht="14.25">
      <c r="A662" s="3" t="str">
        <f>T("50102392")</f>
        <v>50102392</v>
      </c>
      <c r="B662" s="14" t="s">
        <v>4198</v>
      </c>
      <c r="C662" s="3" t="s">
        <v>667</v>
      </c>
      <c r="D662" s="3" t="str">
        <f>T("望野")</f>
        <v>望野</v>
      </c>
      <c r="E662" s="3" t="str">
        <f>T("文物")</f>
        <v>文物</v>
      </c>
      <c r="F662" s="3">
        <v>150</v>
      </c>
      <c r="G662" s="3">
        <v>900</v>
      </c>
    </row>
    <row r="663" spans="1:7" ht="14.25">
      <c r="A663" s="3" t="str">
        <f>T("50102449")</f>
        <v>50102449</v>
      </c>
      <c r="B663" s="14" t="s">
        <v>4201</v>
      </c>
      <c r="C663" s="3" t="s">
        <v>668</v>
      </c>
      <c r="D663" s="3" t="str">
        <f>T("趙力光著")</f>
        <v>趙力光著</v>
      </c>
      <c r="E663" s="3" t="str">
        <f>T("文物")</f>
        <v>文物</v>
      </c>
      <c r="F663" s="3">
        <v>198</v>
      </c>
      <c r="G663" s="3">
        <v>1188</v>
      </c>
    </row>
    <row r="664" spans="1:7" ht="14.25">
      <c r="A664" s="3" t="str">
        <f>T("50102463")</f>
        <v>50102463</v>
      </c>
      <c r="B664" s="14" t="s">
        <v>4204</v>
      </c>
      <c r="C664" s="3" t="s">
        <v>669</v>
      </c>
      <c r="D664" s="3" t="str">
        <f>T("王興")</f>
        <v>王興</v>
      </c>
      <c r="E664" s="3" t="str">
        <f>T("文物")</f>
        <v>文物</v>
      </c>
      <c r="F664" s="3">
        <v>58</v>
      </c>
      <c r="G664" s="3">
        <v>348</v>
      </c>
    </row>
    <row r="665" spans="1:7" ht="14.25">
      <c r="A665" s="3" t="str">
        <f>T("50102490")</f>
        <v>50102490</v>
      </c>
      <c r="B665" s="14" t="s">
        <v>4207</v>
      </c>
      <c r="C665" s="3" t="s">
        <v>670</v>
      </c>
      <c r="D665" s="3" t="str">
        <f>T("南京博物院、江蘇省考古研究所編著")</f>
        <v>南京博物院、江蘇省考古研究所編著</v>
      </c>
      <c r="E665" s="3" t="str">
        <f>T("文物")</f>
        <v>文物</v>
      </c>
      <c r="F665" s="3">
        <v>388</v>
      </c>
      <c r="G665" s="3">
        <v>2328</v>
      </c>
    </row>
    <row r="666" spans="1:7" ht="14.25">
      <c r="A666" s="3" t="str">
        <f>T("50102537")</f>
        <v>50102537</v>
      </c>
      <c r="B666" s="14" t="s">
        <v>4210</v>
      </c>
      <c r="C666" s="3" t="s">
        <v>671</v>
      </c>
      <c r="D666" s="3" t="str">
        <f>T("軍事博物館")</f>
        <v>軍事博物館</v>
      </c>
      <c r="E666" s="3" t="str">
        <f>T("文物")</f>
        <v>文物</v>
      </c>
      <c r="F666" s="3">
        <v>160</v>
      </c>
      <c r="G666" s="3">
        <v>960</v>
      </c>
    </row>
    <row r="667" spans="1:7" ht="14.25">
      <c r="A667" s="3" t="str">
        <f>T("50102594")</f>
        <v>50102594</v>
      </c>
      <c r="B667" s="14" t="s">
        <v>4213</v>
      </c>
      <c r="C667" s="3" t="s">
        <v>672</v>
      </c>
      <c r="D667" s="3" t="str">
        <f>T("廣西壯族自治區博物館編")</f>
        <v>廣西壯族自治區博物館編</v>
      </c>
      <c r="E667" s="3" t="str">
        <f>T("文物")</f>
        <v>文物</v>
      </c>
      <c r="F667" s="3">
        <v>150</v>
      </c>
      <c r="G667" s="3">
        <v>900</v>
      </c>
    </row>
    <row r="668" spans="1:7" ht="14.25">
      <c r="A668" s="3" t="str">
        <f>T("50102624")</f>
        <v>50102624</v>
      </c>
      <c r="B668" s="14" t="s">
        <v>4216</v>
      </c>
      <c r="C668" s="3" t="s">
        <v>673</v>
      </c>
      <c r="D668" s="3" t="str">
        <f>T("吳敢")</f>
        <v>吳敢</v>
      </c>
      <c r="E668" s="3" t="str">
        <f>T("文物")</f>
        <v>文物</v>
      </c>
      <c r="F668" s="3">
        <v>68</v>
      </c>
      <c r="G668" s="3">
        <v>408</v>
      </c>
    </row>
    <row r="669" spans="1:7" ht="14.25">
      <c r="A669" s="3" t="str">
        <f>T("50102642")</f>
        <v>50102642</v>
      </c>
      <c r="B669" s="14" t="s">
        <v>4219</v>
      </c>
      <c r="C669" s="3" t="s">
        <v>674</v>
      </c>
      <c r="D669" s="3" t="str">
        <f>T("本社")</f>
        <v>本社</v>
      </c>
      <c r="E669" s="3" t="str">
        <f>T("文物")</f>
        <v>文物</v>
      </c>
      <c r="F669" s="3">
        <v>52</v>
      </c>
      <c r="G669" s="3">
        <v>312</v>
      </c>
    </row>
    <row r="670" spans="1:7" ht="14.25">
      <c r="A670" s="3" t="str">
        <f>T("50102647")</f>
        <v>50102647</v>
      </c>
      <c r="B670" s="14" t="s">
        <v>4221</v>
      </c>
      <c r="C670" s="3" t="s">
        <v>675</v>
      </c>
      <c r="D670" s="3" t="str">
        <f>T("編委會")</f>
        <v>編委會</v>
      </c>
      <c r="E670" s="3" t="str">
        <f>T("文物")</f>
        <v>文物</v>
      </c>
      <c r="F670" s="3">
        <v>150</v>
      </c>
      <c r="G670" s="3">
        <v>900</v>
      </c>
    </row>
    <row r="671" spans="1:7" ht="14.25">
      <c r="A671" s="3" t="str">
        <f>T("50102743")</f>
        <v>50102743</v>
      </c>
      <c r="B671" s="14" t="s">
        <v>4223</v>
      </c>
      <c r="C671" s="3" t="s">
        <v>676</v>
      </c>
      <c r="D671" s="3" t="str">
        <f>T("吳雪杉編著")</f>
        <v>吳雪杉編著</v>
      </c>
      <c r="E671" s="3" t="str">
        <f>T("文物")</f>
        <v>文物</v>
      </c>
      <c r="F671" s="3">
        <v>36</v>
      </c>
      <c r="G671" s="3">
        <v>216</v>
      </c>
    </row>
    <row r="672" spans="1:7" ht="14.25">
      <c r="A672" s="3" t="str">
        <f>T("50102791")</f>
        <v>50102791</v>
      </c>
      <c r="B672" s="14" t="s">
        <v>4226</v>
      </c>
      <c r="C672" s="3" t="s">
        <v>677</v>
      </c>
      <c r="D672" s="3" t="str">
        <f>T("陳道義")</f>
        <v>陳道義</v>
      </c>
      <c r="E672" s="3" t="str">
        <f>T("文物")</f>
        <v>文物</v>
      </c>
      <c r="F672" s="3">
        <v>58</v>
      </c>
      <c r="G672" s="3">
        <v>348</v>
      </c>
    </row>
    <row r="673" spans="1:7" ht="14.25">
      <c r="A673" s="3" t="str">
        <f>T("50102831")</f>
        <v>50102831</v>
      </c>
      <c r="B673" s="14" t="s">
        <v>4229</v>
      </c>
      <c r="C673" s="3" t="s">
        <v>678</v>
      </c>
      <c r="D673" s="3" t="str">
        <f>T("佚名")</f>
        <v>佚名</v>
      </c>
      <c r="E673" s="3" t="str">
        <f>T("文物")</f>
        <v>文物</v>
      </c>
      <c r="F673" s="3">
        <v>360</v>
      </c>
      <c r="G673" s="3">
        <v>2160</v>
      </c>
    </row>
    <row r="674" spans="1:7" ht="14.25">
      <c r="A674" s="3" t="str">
        <f>T("50102871")</f>
        <v>50102871</v>
      </c>
      <c r="B674" s="14" t="s">
        <v>4232</v>
      </c>
      <c r="C674" s="3" t="s">
        <v>679</v>
      </c>
      <c r="D674" s="3" t="str">
        <f>T("佚名")</f>
        <v>佚名</v>
      </c>
      <c r="E674" s="3" t="str">
        <f>T("文物")</f>
        <v>文物</v>
      </c>
      <c r="F674" s="3">
        <v>80</v>
      </c>
      <c r="G674" s="3">
        <v>480</v>
      </c>
    </row>
    <row r="675" spans="1:7" ht="14.25">
      <c r="A675" s="3" t="str">
        <f>T("50102899")</f>
        <v>50102899</v>
      </c>
      <c r="B675" s="14" t="s">
        <v>4234</v>
      </c>
      <c r="C675" s="3" t="s">
        <v>680</v>
      </c>
      <c r="D675" s="3" t="str">
        <f>T("望野")</f>
        <v>望野</v>
      </c>
      <c r="E675" s="3" t="str">
        <f>T("文物")</f>
        <v>文物</v>
      </c>
      <c r="F675" s="3">
        <v>180</v>
      </c>
      <c r="G675" s="3">
        <v>1080</v>
      </c>
    </row>
    <row r="676" spans="1:7" ht="14.25">
      <c r="A676" s="3" t="str">
        <f>T("50102913")</f>
        <v>50102913</v>
      </c>
      <c r="B676" s="14" t="s">
        <v>4236</v>
      </c>
      <c r="C676" s="3" t="s">
        <v>681</v>
      </c>
      <c r="D676" s="3" t="str">
        <f>T("趙琛、張世河")</f>
        <v>趙琛、張世河</v>
      </c>
      <c r="E676" s="3" t="str">
        <f>T("文物")</f>
        <v>文物</v>
      </c>
      <c r="F676" s="3">
        <v>32</v>
      </c>
      <c r="G676" s="3">
        <v>192</v>
      </c>
    </row>
    <row r="677" spans="1:7" ht="14.25">
      <c r="A677" s="3" t="str">
        <f>T("50117330")</f>
        <v>50117330</v>
      </c>
      <c r="B677" s="14" t="s">
        <v>4239</v>
      </c>
      <c r="C677" s="3" t="s">
        <v>682</v>
      </c>
      <c r="D677" s="3" t="str">
        <f>T("梅冬閣")</f>
        <v>梅冬閣</v>
      </c>
      <c r="E677" s="3" t="str">
        <f>T("新華")</f>
        <v>新華</v>
      </c>
      <c r="F677" s="3">
        <v>39.8</v>
      </c>
      <c r="G677" s="3">
        <v>239</v>
      </c>
    </row>
    <row r="678" spans="1:7" ht="14.25">
      <c r="A678" s="3" t="str">
        <f>T("50117890")</f>
        <v>50117890</v>
      </c>
      <c r="B678" s="14" t="s">
        <v>4243</v>
      </c>
      <c r="C678" s="3" t="s">
        <v>683</v>
      </c>
      <c r="D678" s="3" t="str">
        <f>T("且東")</f>
        <v>且東</v>
      </c>
      <c r="E678" s="3" t="str">
        <f>T("新華")</f>
        <v>新華</v>
      </c>
      <c r="F678" s="3">
        <v>28</v>
      </c>
      <c r="G678" s="3">
        <v>168</v>
      </c>
    </row>
    <row r="679" spans="1:7" ht="14.25">
      <c r="A679" s="3" t="str">
        <f>T("50118225")</f>
        <v>50118225</v>
      </c>
      <c r="B679" s="14" t="s">
        <v>4246</v>
      </c>
      <c r="C679" s="3" t="s">
        <v>684</v>
      </c>
      <c r="D679" s="3" t="str">
        <f>T(".")</f>
        <v>.</v>
      </c>
      <c r="E679" s="3" t="str">
        <f>T("新華")</f>
        <v>新華</v>
      </c>
      <c r="F679" s="3">
        <v>28.8</v>
      </c>
      <c r="G679" s="3">
        <v>173</v>
      </c>
    </row>
    <row r="680" spans="1:7" ht="14.25">
      <c r="A680" s="3" t="str">
        <f>T("50118620")</f>
        <v>50118620</v>
      </c>
      <c r="B680" s="14" t="s">
        <v>4248</v>
      </c>
      <c r="C680" s="3" t="s">
        <v>685</v>
      </c>
      <c r="D680" s="3" t="str">
        <f>T("白義忠著")</f>
        <v>白義忠著</v>
      </c>
      <c r="E680" s="3" t="str">
        <f>T("新華")</f>
        <v>新華</v>
      </c>
      <c r="F680" s="3">
        <v>52.8</v>
      </c>
      <c r="G680" s="3">
        <v>317</v>
      </c>
    </row>
    <row r="681" spans="1:7" ht="14.25">
      <c r="A681" s="3" t="str">
        <f>T("50123815")</f>
        <v>50123815</v>
      </c>
      <c r="B681" s="14" t="s">
        <v>4251</v>
      </c>
      <c r="C681" s="3" t="s">
        <v>686</v>
      </c>
      <c r="D681" s="3" t="str">
        <f>T("胡傑. 著")</f>
        <v>胡傑. 著</v>
      </c>
      <c r="E681" s="3" t="str">
        <f>T("世界知識")</f>
        <v>世界知識</v>
      </c>
      <c r="F681" s="3">
        <v>29</v>
      </c>
      <c r="G681" s="3">
        <v>174</v>
      </c>
    </row>
    <row r="682" spans="1:7" ht="14.25">
      <c r="A682" s="3" t="str">
        <f>T("50124044")</f>
        <v>50124044</v>
      </c>
      <c r="B682" s="14" t="s">
        <v>4255</v>
      </c>
      <c r="C682" s="3" t="s">
        <v>687</v>
      </c>
      <c r="D682" s="3" t="str">
        <f>T("李曉燕著")</f>
        <v>李曉燕著</v>
      </c>
      <c r="E682" s="3" t="str">
        <f>T("世界知識")</f>
        <v>世界知識</v>
      </c>
      <c r="F682" s="3">
        <v>28</v>
      </c>
      <c r="G682" s="3">
        <v>168</v>
      </c>
    </row>
    <row r="683" spans="1:7" ht="14.25">
      <c r="A683" s="3" t="str">
        <f>T("50130002")</f>
        <v>50130002</v>
      </c>
      <c r="B683" s="14" t="s">
        <v>2236</v>
      </c>
      <c r="C683" s="3" t="s">
        <v>688</v>
      </c>
      <c r="D683" s="3" t="str">
        <f>T("李雄飛 編")</f>
        <v>李雄飛 編</v>
      </c>
      <c r="E683" s="3" t="str">
        <f>T("北京圖書館")</f>
        <v>北京圖書館</v>
      </c>
      <c r="F683" s="3">
        <v>50</v>
      </c>
      <c r="G683" s="3">
        <v>300</v>
      </c>
    </row>
    <row r="684" spans="1:7" ht="14.25">
      <c r="A684" s="3" t="str">
        <f>T("50130591")</f>
        <v>50130591</v>
      </c>
      <c r="B684" s="14" t="s">
        <v>4260</v>
      </c>
      <c r="C684" s="3" t="s">
        <v>689</v>
      </c>
      <c r="D684" s="3" t="str">
        <f>T("汪兆鏞")</f>
        <v>汪兆鏞</v>
      </c>
      <c r="E684" s="3" t="str">
        <f>T("北京圖書館")</f>
        <v>北京圖書館</v>
      </c>
      <c r="F684" s="3">
        <v>290</v>
      </c>
      <c r="G684" s="3">
        <v>1740</v>
      </c>
    </row>
    <row r="685" spans="1:7" ht="14.25">
      <c r="A685" s="3" t="str">
        <f>T("50131998")</f>
        <v>50131998</v>
      </c>
      <c r="B685" s="14" t="s">
        <v>4263</v>
      </c>
      <c r="C685" s="3" t="s">
        <v>690</v>
      </c>
      <c r="D685" s="3" t="str">
        <f>T("元 趙孟頫 撰")</f>
        <v>元 趙孟頫 撰</v>
      </c>
      <c r="E685" s="3" t="str">
        <f>T("北京圖書館")</f>
        <v>北京圖書館</v>
      </c>
      <c r="F685" s="3">
        <v>580</v>
      </c>
      <c r="G685" s="3">
        <v>3480</v>
      </c>
    </row>
    <row r="686" spans="1:7" ht="14.25">
      <c r="A686" s="3" t="str">
        <f>T("50132410")</f>
        <v>50132410</v>
      </c>
      <c r="B686" s="14" t="s">
        <v>4266</v>
      </c>
      <c r="C686" s="3" t="s">
        <v>691</v>
      </c>
      <c r="D686" s="3" t="str">
        <f>T(".")</f>
        <v>.</v>
      </c>
      <c r="E686" s="3" t="str">
        <f>T("北京圖書館")</f>
        <v>北京圖書館</v>
      </c>
      <c r="F686" s="3">
        <v>380</v>
      </c>
      <c r="G686" s="3">
        <v>2280</v>
      </c>
    </row>
    <row r="687" spans="1:7" ht="14.25">
      <c r="A687" s="3" t="str">
        <f>T("50132415")</f>
        <v>50132415</v>
      </c>
      <c r="B687" s="14" t="s">
        <v>4268</v>
      </c>
      <c r="C687" s="3" t="s">
        <v>692</v>
      </c>
      <c r="D687" s="3" t="str">
        <f>T("劉茲恒")</f>
        <v>劉茲恒</v>
      </c>
      <c r="E687" s="3" t="str">
        <f>T("北京圖書館")</f>
        <v>北京圖書館</v>
      </c>
      <c r="F687" s="3">
        <v>30</v>
      </c>
      <c r="G687" s="3">
        <v>180</v>
      </c>
    </row>
    <row r="688" spans="1:7" ht="14.25">
      <c r="A688" s="3" t="str">
        <f>T("50132592")</f>
        <v>50132592</v>
      </c>
      <c r="B688" s="14" t="s">
        <v>4271</v>
      </c>
      <c r="C688" s="3" t="s">
        <v>693</v>
      </c>
      <c r="D688" s="3" t="str">
        <f>T(".")</f>
        <v>.</v>
      </c>
      <c r="E688" s="3" t="str">
        <f>T("北京圖書館")</f>
        <v>北京圖書館</v>
      </c>
      <c r="F688" s="3">
        <v>120</v>
      </c>
      <c r="G688" s="3">
        <v>720</v>
      </c>
    </row>
    <row r="689" spans="1:7" ht="14.25">
      <c r="A689" s="3" t="str">
        <f>T("50132624")</f>
        <v>50132624</v>
      </c>
      <c r="B689" s="14" t="s">
        <v>4273</v>
      </c>
      <c r="C689" s="3" t="s">
        <v>694</v>
      </c>
      <c r="D689" s="3" t="str">
        <f>T("江向東")</f>
        <v>江向東</v>
      </c>
      <c r="E689" s="3" t="str">
        <f>T("北京圖書館")</f>
        <v>北京圖書館</v>
      </c>
      <c r="F689" s="3">
        <v>25</v>
      </c>
      <c r="G689" s="3">
        <v>150</v>
      </c>
    </row>
    <row r="690" spans="1:7" ht="14.25">
      <c r="A690" s="3" t="str">
        <f>T("50132738")</f>
        <v>50132738</v>
      </c>
      <c r="B690" s="14" t="s">
        <v>4276</v>
      </c>
      <c r="C690" s="3" t="s">
        <v>695</v>
      </c>
      <c r="D690" s="3" t="str">
        <f>T("彭緒庶")</f>
        <v>彭緒庶</v>
      </c>
      <c r="E690" s="3" t="str">
        <f>T("北京圖書館")</f>
        <v>北京圖書館</v>
      </c>
      <c r="F690" s="3">
        <v>25</v>
      </c>
      <c r="G690" s="3">
        <v>150</v>
      </c>
    </row>
    <row r="691" spans="1:7" ht="14.25">
      <c r="A691" s="3" t="str">
        <f>T("50132745")</f>
        <v>50132745</v>
      </c>
      <c r="B691" s="14" t="s">
        <v>4279</v>
      </c>
      <c r="C691" s="3" t="s">
        <v>696</v>
      </c>
      <c r="D691" s="3" t="str">
        <f>T("王爾岡")</f>
        <v>王爾岡</v>
      </c>
      <c r="E691" s="3" t="str">
        <f>T("北京圖書館")</f>
        <v>北京圖書館</v>
      </c>
      <c r="F691" s="3">
        <v>16</v>
      </c>
      <c r="G691" s="3">
        <v>96</v>
      </c>
    </row>
    <row r="692" spans="1:7" ht="14.25">
      <c r="A692" s="3" t="str">
        <f>T("50132763")</f>
        <v>50132763</v>
      </c>
      <c r="B692" s="14" t="s">
        <v>4282</v>
      </c>
      <c r="C692" s="3" t="s">
        <v>697</v>
      </c>
      <c r="D692" s="3" t="str">
        <f>T(".")</f>
        <v>.</v>
      </c>
      <c r="E692" s="3" t="str">
        <f>T("北京圖書館")</f>
        <v>北京圖書館</v>
      </c>
      <c r="F692" s="3">
        <v>90</v>
      </c>
      <c r="G692" s="3">
        <v>540</v>
      </c>
    </row>
    <row r="693" spans="1:7" ht="14.25">
      <c r="A693" s="3" t="str">
        <f>T("50132766")</f>
        <v>50132766</v>
      </c>
      <c r="B693" s="14" t="s">
        <v>4284</v>
      </c>
      <c r="C693" s="3" t="s">
        <v>698</v>
      </c>
      <c r="D693" s="3" t="str">
        <f>T("杜也力")</f>
        <v>杜也力</v>
      </c>
      <c r="E693" s="3" t="str">
        <f>T("北京圖書館")</f>
        <v>北京圖書館</v>
      </c>
      <c r="F693" s="3">
        <v>25</v>
      </c>
      <c r="G693" s="3">
        <v>150</v>
      </c>
    </row>
    <row r="694" spans="1:7" ht="14.25">
      <c r="A694" s="3" t="str">
        <f>T("50132780")</f>
        <v>50132780</v>
      </c>
      <c r="B694" s="14" t="s">
        <v>4287</v>
      </c>
      <c r="C694" s="3" t="s">
        <v>699</v>
      </c>
      <c r="D694" s="3" t="str">
        <f>T("胡元翎")</f>
        <v>胡元翎</v>
      </c>
      <c r="E694" s="3">
        <f>T("")</f>
      </c>
      <c r="F694" s="3"/>
      <c r="G694" s="3">
        <v>125</v>
      </c>
    </row>
    <row r="695" spans="1:7" ht="14.25">
      <c r="A695" s="3" t="str">
        <f>T("50132784")</f>
        <v>50132784</v>
      </c>
      <c r="B695" s="14" t="s">
        <v>4290</v>
      </c>
      <c r="C695" s="3" t="s">
        <v>700</v>
      </c>
      <c r="D695" s="3" t="str">
        <f>T("朱浩文")</f>
        <v>朱浩文</v>
      </c>
      <c r="E695" s="3" t="str">
        <f>T("北京圖書館")</f>
        <v>北京圖書館</v>
      </c>
      <c r="F695" s="3">
        <v>20</v>
      </c>
      <c r="G695" s="3">
        <v>120</v>
      </c>
    </row>
    <row r="696" spans="1:7" ht="14.25">
      <c r="A696" s="3" t="str">
        <f>T("50132787")</f>
        <v>50132787</v>
      </c>
      <c r="B696" s="14" t="s">
        <v>4293</v>
      </c>
      <c r="C696" s="3" t="s">
        <v>701</v>
      </c>
      <c r="D696" s="3" t="str">
        <f>T("朱浩文")</f>
        <v>朱浩文</v>
      </c>
      <c r="E696" s="3" t="str">
        <f>T("北京圖書館")</f>
        <v>北京圖書館</v>
      </c>
      <c r="F696" s="3">
        <v>20</v>
      </c>
      <c r="G696" s="3">
        <v>120</v>
      </c>
    </row>
    <row r="697" spans="1:7" ht="14.25">
      <c r="A697" s="3" t="str">
        <f>T("50132793")</f>
        <v>50132793</v>
      </c>
      <c r="B697" s="14" t="s">
        <v>4295</v>
      </c>
      <c r="C697" s="3" t="s">
        <v>702</v>
      </c>
      <c r="D697" s="3" t="str">
        <f>T("朱浩文")</f>
        <v>朱浩文</v>
      </c>
      <c r="E697" s="3" t="str">
        <f>T("北京圖書館")</f>
        <v>北京圖書館</v>
      </c>
      <c r="F697" s="3">
        <v>20</v>
      </c>
      <c r="G697" s="3">
        <v>120</v>
      </c>
    </row>
    <row r="698" spans="1:7" ht="14.25">
      <c r="A698" s="3" t="str">
        <f>T("50132794")</f>
        <v>50132794</v>
      </c>
      <c r="B698" s="14" t="s">
        <v>4297</v>
      </c>
      <c r="C698" s="3" t="s">
        <v>703</v>
      </c>
      <c r="D698" s="3" t="str">
        <f>T("朱浩文")</f>
        <v>朱浩文</v>
      </c>
      <c r="E698" s="3" t="str">
        <f>T("北京圖書館")</f>
        <v>北京圖書館</v>
      </c>
      <c r="F698" s="3">
        <v>20</v>
      </c>
      <c r="G698" s="3">
        <v>120</v>
      </c>
    </row>
    <row r="699" spans="1:7" ht="14.25">
      <c r="A699" s="3" t="str">
        <f>T("50132797")</f>
        <v>50132797</v>
      </c>
      <c r="B699" s="14" t="s">
        <v>4299</v>
      </c>
      <c r="C699" s="3" t="s">
        <v>704</v>
      </c>
      <c r="D699" s="3" t="str">
        <f>T(".")</f>
        <v>.</v>
      </c>
      <c r="E699" s="3" t="str">
        <f>T("北京圖書館")</f>
        <v>北京圖書館</v>
      </c>
      <c r="F699" s="3">
        <v>70</v>
      </c>
      <c r="G699" s="3">
        <v>420</v>
      </c>
    </row>
    <row r="700" spans="1:7" ht="14.25">
      <c r="A700" s="3" t="str">
        <f>T("50132798")</f>
        <v>50132798</v>
      </c>
      <c r="B700" s="14" t="s">
        <v>4301</v>
      </c>
      <c r="C700" s="3" t="s">
        <v>705</v>
      </c>
      <c r="D700" s="3" t="str">
        <f>T("朱浩文")</f>
        <v>朱浩文</v>
      </c>
      <c r="E700" s="3" t="str">
        <f>T("北京圖書館")</f>
        <v>北京圖書館</v>
      </c>
      <c r="F700" s="3">
        <v>20</v>
      </c>
      <c r="G700" s="3">
        <v>120</v>
      </c>
    </row>
    <row r="701" spans="1:7" ht="14.25">
      <c r="A701" s="3" t="str">
        <f>T("50133003")</f>
        <v>50133003</v>
      </c>
      <c r="B701" s="14" t="s">
        <v>4303</v>
      </c>
      <c r="C701" s="3" t="s">
        <v>706</v>
      </c>
      <c r="D701" s="3" t="str">
        <f>T(".")</f>
        <v>.</v>
      </c>
      <c r="E701" s="3" t="str">
        <f>T("北京圖書館")</f>
        <v>北京圖書館</v>
      </c>
      <c r="F701" s="3">
        <v>120</v>
      </c>
      <c r="G701" s="3">
        <v>720</v>
      </c>
    </row>
    <row r="702" spans="1:7" ht="14.25">
      <c r="A702" s="3" t="str">
        <f>T("50133111")</f>
        <v>50133111</v>
      </c>
      <c r="B702" s="14" t="s">
        <v>4305</v>
      </c>
      <c r="C702" s="3" t="s">
        <v>707</v>
      </c>
      <c r="D702" s="3" t="str">
        <f>T("楊朝英")</f>
        <v>楊朝英</v>
      </c>
      <c r="E702" s="3" t="str">
        <f>T("北京圖書館")</f>
        <v>北京圖書館</v>
      </c>
      <c r="F702" s="3">
        <v>960</v>
      </c>
      <c r="G702" s="3">
        <v>5760</v>
      </c>
    </row>
    <row r="703" spans="1:7" ht="14.25">
      <c r="A703" s="3" t="str">
        <f>T("50133124")</f>
        <v>50133124</v>
      </c>
      <c r="B703" s="14" t="s">
        <v>4308</v>
      </c>
      <c r="C703" s="3" t="s">
        <v>708</v>
      </c>
      <c r="D703" s="3" t="str">
        <f>T("苑克儷")</f>
        <v>苑克儷</v>
      </c>
      <c r="E703" s="3" t="str">
        <f>T("北京圖書館")</f>
        <v>北京圖書館</v>
      </c>
      <c r="F703" s="3">
        <v>60</v>
      </c>
      <c r="G703" s="3">
        <v>360</v>
      </c>
    </row>
    <row r="704" spans="1:7" ht="14.25">
      <c r="A704" s="3" t="str">
        <f>T("50133145")</f>
        <v>50133145</v>
      </c>
      <c r="B704" s="14" t="s">
        <v>4311</v>
      </c>
      <c r="C704" s="3" t="s">
        <v>709</v>
      </c>
      <c r="D704" s="3" t="str">
        <f>T("邱陽")</f>
        <v>邱陽</v>
      </c>
      <c r="E704" s="3" t="str">
        <f>T("北京圖書館")</f>
        <v>北京圖書館</v>
      </c>
      <c r="F704" s="3">
        <v>25</v>
      </c>
      <c r="G704" s="3">
        <v>150</v>
      </c>
    </row>
    <row r="705" spans="1:7" ht="14.25">
      <c r="A705" s="3" t="str">
        <f>T("50133160")</f>
        <v>50133160</v>
      </c>
      <c r="B705" s="14" t="s">
        <v>4314</v>
      </c>
      <c r="C705" s="3" t="s">
        <v>710</v>
      </c>
      <c r="D705" s="3" t="str">
        <f>T(".")</f>
        <v>.</v>
      </c>
      <c r="E705" s="3" t="str">
        <f>T("北京圖書館")</f>
        <v>北京圖書館</v>
      </c>
      <c r="F705" s="3">
        <v>55</v>
      </c>
      <c r="G705" s="3">
        <v>330</v>
      </c>
    </row>
    <row r="706" spans="1:7" ht="14.25">
      <c r="A706" s="3" t="str">
        <f>T("50133171")</f>
        <v>50133171</v>
      </c>
      <c r="B706" s="14" t="s">
        <v>4316</v>
      </c>
      <c r="C706" s="3" t="s">
        <v>711</v>
      </c>
      <c r="D706" s="3" t="str">
        <f>T("喬冬梅")</f>
        <v>喬冬梅</v>
      </c>
      <c r="E706" s="3" t="str">
        <f>T("北京圖書館")</f>
        <v>北京圖書館</v>
      </c>
      <c r="F706" s="3">
        <v>28</v>
      </c>
      <c r="G706" s="3">
        <v>168</v>
      </c>
    </row>
    <row r="707" spans="1:7" ht="14.25">
      <c r="A707" s="3" t="str">
        <f>T("50133175")</f>
        <v>50133175</v>
      </c>
      <c r="B707" s="14" t="s">
        <v>4319</v>
      </c>
      <c r="C707" s="3" t="s">
        <v>712</v>
      </c>
      <c r="D707" s="3" t="str">
        <f>T("北京大學資訊管理系編")</f>
        <v>北京大學資訊管理系編</v>
      </c>
      <c r="E707" s="3" t="str">
        <f>T("北京圖書館")</f>
        <v>北京圖書館</v>
      </c>
      <c r="F707" s="3">
        <v>50</v>
      </c>
      <c r="G707" s="3">
        <v>300</v>
      </c>
    </row>
    <row r="708" spans="1:7" ht="14.25">
      <c r="A708" s="3" t="str">
        <f>T("50133182")</f>
        <v>50133182</v>
      </c>
      <c r="B708" s="14" t="s">
        <v>4322</v>
      </c>
      <c r="C708" s="3" t="s">
        <v>713</v>
      </c>
      <c r="D708" s="3" t="str">
        <f>T("李東來")</f>
        <v>李東來</v>
      </c>
      <c r="E708" s="3" t="str">
        <f>T("北京圖書館")</f>
        <v>北京圖書館</v>
      </c>
      <c r="F708" s="3">
        <v>60</v>
      </c>
      <c r="G708" s="3">
        <v>360</v>
      </c>
    </row>
    <row r="709" spans="1:7" ht="14.25">
      <c r="A709" s="3" t="str">
        <f>T("50133359")</f>
        <v>50133359</v>
      </c>
      <c r="B709" s="14" t="s">
        <v>4325</v>
      </c>
      <c r="C709" s="3" t="s">
        <v>714</v>
      </c>
      <c r="D709" s="3" t="str">
        <f>T("梁欣立")</f>
        <v>梁欣立</v>
      </c>
      <c r="E709" s="3" t="str">
        <f>T("北京圖書館")</f>
        <v>北京圖書館</v>
      </c>
      <c r="F709" s="3">
        <v>39.8</v>
      </c>
      <c r="G709" s="3">
        <v>239</v>
      </c>
    </row>
    <row r="710" spans="1:7" ht="14.25">
      <c r="A710" s="3" t="str">
        <f>T("50133435")</f>
        <v>50133435</v>
      </c>
      <c r="B710" s="14" t="s">
        <v>4328</v>
      </c>
      <c r="C710" s="3" t="s">
        <v>715</v>
      </c>
      <c r="D710" s="3" t="str">
        <f>T("北極蒼狼")</f>
        <v>北極蒼狼</v>
      </c>
      <c r="E710" s="3" t="str">
        <f>T("北京圖書館")</f>
        <v>北京圖書館</v>
      </c>
      <c r="F710" s="3">
        <v>32</v>
      </c>
      <c r="G710" s="3">
        <v>192</v>
      </c>
    </row>
    <row r="711" spans="1:7" ht="14.25">
      <c r="A711" s="3" t="str">
        <f>T("50133468")</f>
        <v>50133468</v>
      </c>
      <c r="B711" s="14" t="s">
        <v>4331</v>
      </c>
      <c r="C711" s="3" t="s">
        <v>716</v>
      </c>
      <c r="D711" s="3" t="str">
        <f>T("本書編")</f>
        <v>本書編</v>
      </c>
      <c r="E711" s="3" t="str">
        <f>T("北京圖書館")</f>
        <v>北京圖書館</v>
      </c>
      <c r="F711" s="3">
        <v>20</v>
      </c>
      <c r="G711" s="3">
        <v>120</v>
      </c>
    </row>
    <row r="712" spans="1:7" ht="14.25">
      <c r="A712" s="3" t="str">
        <f>T("50133553")</f>
        <v>50133553</v>
      </c>
      <c r="B712" s="14" t="s">
        <v>4334</v>
      </c>
      <c r="C712" s="3" t="s">
        <v>717</v>
      </c>
      <c r="D712" s="3" t="str">
        <f>T("劉登閣")</f>
        <v>劉登閣</v>
      </c>
      <c r="E712" s="3" t="str">
        <f>T("北京圖書館")</f>
        <v>北京圖書館</v>
      </c>
      <c r="F712" s="3">
        <v>29</v>
      </c>
      <c r="G712" s="3">
        <v>174</v>
      </c>
    </row>
    <row r="713" spans="1:7" ht="14.25">
      <c r="A713" s="3" t="str">
        <f>T("50133640")</f>
        <v>50133640</v>
      </c>
      <c r="B713" s="14" t="s">
        <v>4337</v>
      </c>
      <c r="C713" s="3" t="s">
        <v>718</v>
      </c>
      <c r="D713" s="3" t="str">
        <f>T("趙振華")</f>
        <v>趙振華</v>
      </c>
      <c r="E713" s="3" t="str">
        <f>T("北京圖書館")</f>
        <v>北京圖書館</v>
      </c>
      <c r="F713" s="3">
        <v>48</v>
      </c>
      <c r="G713" s="3">
        <v>288</v>
      </c>
    </row>
    <row r="714" spans="1:7" ht="14.25">
      <c r="A714" s="3" t="str">
        <f>T("50133648")</f>
        <v>50133648</v>
      </c>
      <c r="B714" s="14" t="s">
        <v>4340</v>
      </c>
      <c r="C714" s="3" t="s">
        <v>719</v>
      </c>
      <c r="D714" s="3" t="str">
        <f>T("丁立中")</f>
        <v>丁立中</v>
      </c>
      <c r="E714" s="3" t="str">
        <f>T("北京圖書館")</f>
        <v>北京圖書館</v>
      </c>
      <c r="F714" s="3">
        <v>540</v>
      </c>
      <c r="G714" s="3">
        <v>3240</v>
      </c>
    </row>
    <row r="715" spans="1:7" ht="14.25">
      <c r="A715" s="3" t="str">
        <f>T("50133773")</f>
        <v>50133773</v>
      </c>
      <c r="B715" s="14" t="s">
        <v>4343</v>
      </c>
      <c r="C715" s="3" t="s">
        <v>720</v>
      </c>
      <c r="D715" s="3" t="str">
        <f>T("編委")</f>
        <v>編委</v>
      </c>
      <c r="E715" s="3" t="str">
        <f>T("北京圖書館")</f>
        <v>北京圖書館</v>
      </c>
      <c r="F715" s="3">
        <v>35</v>
      </c>
      <c r="G715" s="3">
        <v>210</v>
      </c>
    </row>
    <row r="716" spans="1:7" ht="14.25">
      <c r="A716" s="3" t="str">
        <f>T("50133804")</f>
        <v>50133804</v>
      </c>
      <c r="B716" s="14" t="s">
        <v>4345</v>
      </c>
      <c r="C716" s="3" t="s">
        <v>721</v>
      </c>
      <c r="D716" s="3" t="str">
        <f>T("國家清史編委會")</f>
        <v>國家清史編委會</v>
      </c>
      <c r="E716" s="3" t="str">
        <f>T("北京圖書館")</f>
        <v>北京圖書館</v>
      </c>
      <c r="F716" s="3">
        <v>48</v>
      </c>
      <c r="G716" s="3">
        <v>288</v>
      </c>
    </row>
    <row r="717" spans="1:7" ht="14.25">
      <c r="A717" s="3" t="str">
        <f>T("50133825")</f>
        <v>50133825</v>
      </c>
      <c r="B717" s="14" t="s">
        <v>4348</v>
      </c>
      <c r="C717" s="3" t="s">
        <v>722</v>
      </c>
      <c r="D717" s="3" t="str">
        <f>T("編委會")</f>
        <v>編委會</v>
      </c>
      <c r="E717" s="3" t="str">
        <f>T("國家圖書館")</f>
        <v>國家圖書館</v>
      </c>
      <c r="F717" s="3">
        <v>560</v>
      </c>
      <c r="G717" s="3">
        <v>3360</v>
      </c>
    </row>
    <row r="718" spans="1:7" ht="14.25">
      <c r="A718" s="3" t="str">
        <f>T("50133827")</f>
        <v>50133827</v>
      </c>
      <c r="B718" s="14" t="s">
        <v>4351</v>
      </c>
      <c r="C718" s="3" t="s">
        <v>723</v>
      </c>
      <c r="D718" s="3" t="str">
        <f>T("賈貴榮")</f>
        <v>賈貴榮</v>
      </c>
      <c r="E718" s="3" t="str">
        <f>T("國家圖書館")</f>
        <v>國家圖書館</v>
      </c>
      <c r="F718" s="3">
        <v>480</v>
      </c>
      <c r="G718" s="3">
        <v>2880</v>
      </c>
    </row>
    <row r="719" spans="1:7" ht="14.25">
      <c r="A719" s="3" t="str">
        <f>T("50133977")</f>
        <v>50133977</v>
      </c>
      <c r="B719" s="14" t="s">
        <v>4354</v>
      </c>
      <c r="C719" s="3" t="s">
        <v>724</v>
      </c>
      <c r="D719" s="3" t="str">
        <f>T("梁欣立著")</f>
        <v>梁欣立著</v>
      </c>
      <c r="E719" s="3" t="str">
        <f>T("北京圖書館")</f>
        <v>北京圖書館</v>
      </c>
      <c r="F719" s="3">
        <v>42</v>
      </c>
      <c r="G719" s="3">
        <v>252</v>
      </c>
    </row>
    <row r="720" spans="1:7" ht="14.25">
      <c r="A720" s="3" t="str">
        <f>T("50133990")</f>
        <v>50133990</v>
      </c>
      <c r="B720" s="14" t="s">
        <v>4357</v>
      </c>
      <c r="C720" s="3" t="s">
        <v>725</v>
      </c>
      <c r="D720" s="3" t="str">
        <f>T("李申主編")</f>
        <v>李申主編</v>
      </c>
      <c r="E720" s="3" t="str">
        <f>T("北京圖書館")</f>
        <v>北京圖書館</v>
      </c>
      <c r="F720" s="3">
        <v>39</v>
      </c>
      <c r="G720" s="3">
        <v>234</v>
      </c>
    </row>
    <row r="721" spans="1:7" ht="14.25">
      <c r="A721" s="3" t="str">
        <f>T("50133991")</f>
        <v>50133991</v>
      </c>
      <c r="B721" s="14" t="s">
        <v>4360</v>
      </c>
      <c r="C721" s="3" t="s">
        <v>726</v>
      </c>
      <c r="D721" s="3" t="str">
        <f>T("李申")</f>
        <v>李申</v>
      </c>
      <c r="E721" s="3" t="str">
        <f>T("北京圖書館")</f>
        <v>北京圖書館</v>
      </c>
      <c r="F721" s="3">
        <v>45</v>
      </c>
      <c r="G721" s="3">
        <v>270</v>
      </c>
    </row>
    <row r="722" spans="1:7" ht="14.25">
      <c r="A722" s="3" t="str">
        <f>T("50134090")</f>
        <v>50134090</v>
      </c>
      <c r="B722" s="14" t="s">
        <v>4363</v>
      </c>
      <c r="C722" s="3" t="s">
        <v>727</v>
      </c>
      <c r="D722" s="3" t="str">
        <f>T("劉德清")</f>
        <v>劉德清</v>
      </c>
      <c r="E722" s="3" t="str">
        <f>T("北京圖書館")</f>
        <v>北京圖書館</v>
      </c>
      <c r="F722" s="3">
        <v>28</v>
      </c>
      <c r="G722" s="3">
        <v>168</v>
      </c>
    </row>
    <row r="723" spans="1:7" ht="14.25">
      <c r="A723" s="3" t="str">
        <f>T("50134203")</f>
        <v>50134203</v>
      </c>
      <c r="B723" s="14" t="s">
        <v>4366</v>
      </c>
      <c r="C723" s="3" t="s">
        <v>728</v>
      </c>
      <c r="D723" s="3" t="str">
        <f>T("詹頌")</f>
        <v>詹頌</v>
      </c>
      <c r="E723" s="3" t="str">
        <f>T("北京圖書館")</f>
        <v>北京圖書館</v>
      </c>
      <c r="F723" s="3">
        <v>25</v>
      </c>
      <c r="G723" s="3">
        <v>150</v>
      </c>
    </row>
    <row r="724" spans="1:7" ht="14.25">
      <c r="A724" s="3" t="str">
        <f>T("50134269")</f>
        <v>50134269</v>
      </c>
      <c r="B724" s="14" t="s">
        <v>4369</v>
      </c>
      <c r="C724" s="3" t="s">
        <v>729</v>
      </c>
      <c r="D724" s="3" t="str">
        <f>T("王承斌")</f>
        <v>王承斌</v>
      </c>
      <c r="E724" s="3" t="str">
        <f>T("商務印書")</f>
        <v>商務印書</v>
      </c>
      <c r="F724" s="3">
        <v>25</v>
      </c>
      <c r="G724" s="3">
        <v>150</v>
      </c>
    </row>
    <row r="725" spans="1:7" ht="14.25">
      <c r="A725" s="3" t="str">
        <f>T("50134571")</f>
        <v>50134571</v>
      </c>
      <c r="B725" s="14" t="s">
        <v>4372</v>
      </c>
      <c r="C725" s="3" t="s">
        <v>730</v>
      </c>
      <c r="D725" s="3" t="str">
        <f>T("楊豔燕編")</f>
        <v>楊豔燕編</v>
      </c>
      <c r="E725" s="3" t="str">
        <f>T("國圖")</f>
        <v>國圖</v>
      </c>
      <c r="F725" s="3">
        <v>160</v>
      </c>
      <c r="G725" s="3">
        <v>960</v>
      </c>
    </row>
    <row r="726" spans="1:7" ht="14.25">
      <c r="A726" s="3" t="str">
        <f>T("50175518")</f>
        <v>50175518</v>
      </c>
      <c r="B726" s="14" t="s">
        <v>4376</v>
      </c>
      <c r="C726" s="3" t="s">
        <v>731</v>
      </c>
      <c r="D726" s="3" t="str">
        <f>T("李旭")</f>
        <v>李旭</v>
      </c>
      <c r="E726" s="3" t="str">
        <f>T("中國經濟")</f>
        <v>中國經濟</v>
      </c>
      <c r="F726" s="3">
        <v>58</v>
      </c>
      <c r="G726" s="3">
        <v>348</v>
      </c>
    </row>
    <row r="727" spans="1:7" ht="14.25">
      <c r="A727" s="3" t="str">
        <f>T("50179173")</f>
        <v>50179173</v>
      </c>
      <c r="B727" s="14" t="s">
        <v>4380</v>
      </c>
      <c r="C727" s="3" t="s">
        <v>732</v>
      </c>
      <c r="D727" s="3" t="str">
        <f>T("陶短房")</f>
        <v>陶短房</v>
      </c>
      <c r="E727" s="3" t="str">
        <f>T("中國經濟")</f>
        <v>中國經濟</v>
      </c>
      <c r="F727" s="3">
        <v>29.8</v>
      </c>
      <c r="G727" s="3">
        <v>179</v>
      </c>
    </row>
    <row r="728" spans="1:7" ht="14.25">
      <c r="A728" s="3" t="str">
        <f>T("50179410")</f>
        <v>50179410</v>
      </c>
      <c r="B728" s="14" t="s">
        <v>4383</v>
      </c>
      <c r="C728" s="3" t="s">
        <v>733</v>
      </c>
      <c r="D728" s="3" t="str">
        <f>T("伯頓")</f>
        <v>伯頓</v>
      </c>
      <c r="E728" s="3" t="str">
        <f>T("中國經濟")</f>
        <v>中國經濟</v>
      </c>
      <c r="F728" s="3">
        <v>39.8</v>
      </c>
      <c r="G728" s="3">
        <v>239</v>
      </c>
    </row>
    <row r="729" spans="1:7" ht="14.25">
      <c r="A729" s="3" t="str">
        <f>T("50179598")</f>
        <v>50179598</v>
      </c>
      <c r="B729" s="14" t="s">
        <v>4386</v>
      </c>
      <c r="C729" s="3" t="s">
        <v>734</v>
      </c>
      <c r="D729" s="3" t="str">
        <f>T("範勇編著")</f>
        <v>範勇編著</v>
      </c>
      <c r="E729" s="3" t="str">
        <f>T("天地")</f>
        <v>天地</v>
      </c>
      <c r="F729" s="3">
        <v>32</v>
      </c>
      <c r="G729" s="3">
        <v>192</v>
      </c>
    </row>
    <row r="730" spans="1:7" ht="14.25">
      <c r="A730" s="3" t="str">
        <f>T("50195090")</f>
        <v>50195090</v>
      </c>
      <c r="B730" s="14" t="s">
        <v>4390</v>
      </c>
      <c r="C730" s="3" t="s">
        <v>735</v>
      </c>
      <c r="D730" s="3" t="str">
        <f>T("本社")</f>
        <v>本社</v>
      </c>
      <c r="E730" s="3" t="str">
        <f>T("中國輕工")</f>
        <v>中國輕工</v>
      </c>
      <c r="F730" s="3">
        <v>28</v>
      </c>
      <c r="G730" s="3">
        <v>168</v>
      </c>
    </row>
    <row r="731" spans="1:7" ht="14.25">
      <c r="A731" s="3" t="str">
        <f>T("50283605")</f>
        <v>50283605</v>
      </c>
      <c r="B731" s="14" t="s">
        <v>4398</v>
      </c>
      <c r="C731" s="3" t="s">
        <v>736</v>
      </c>
      <c r="D731" s="3" t="str">
        <f>T("賀建華")</f>
        <v>賀建華</v>
      </c>
      <c r="E731" s="3" t="str">
        <f>T("地震")</f>
        <v>地震</v>
      </c>
      <c r="F731" s="3">
        <v>34</v>
      </c>
      <c r="G731" s="3">
        <v>204</v>
      </c>
    </row>
    <row r="732" spans="1:7" ht="14.25">
      <c r="A732" s="3" t="str">
        <f>T("50283645")</f>
        <v>50283645</v>
      </c>
      <c r="B732" s="14" t="s">
        <v>4401</v>
      </c>
      <c r="C732" s="3" t="s">
        <v>737</v>
      </c>
      <c r="D732" s="3" t="str">
        <f>T("賀建華")</f>
        <v>賀建華</v>
      </c>
      <c r="E732" s="3" t="str">
        <f>T("地震")</f>
        <v>地震</v>
      </c>
      <c r="F732" s="3">
        <v>34</v>
      </c>
      <c r="G732" s="3">
        <v>204</v>
      </c>
    </row>
    <row r="733" spans="1:7" ht="14.25">
      <c r="A733" s="3" t="str">
        <f>T("50283647")</f>
        <v>50283647</v>
      </c>
      <c r="B733" s="14" t="s">
        <v>4403</v>
      </c>
      <c r="C733" s="3" t="s">
        <v>738</v>
      </c>
      <c r="D733" s="3" t="str">
        <f>T("何躍青")</f>
        <v>何躍青</v>
      </c>
      <c r="E733" s="3" t="str">
        <f>T("地震")</f>
        <v>地震</v>
      </c>
      <c r="F733" s="3">
        <v>39</v>
      </c>
      <c r="G733" s="3">
        <v>234</v>
      </c>
    </row>
    <row r="734" spans="1:7" ht="14.25">
      <c r="A734" s="3" t="str">
        <f>T("50322525")</f>
        <v>50322525</v>
      </c>
      <c r="B734" s="14" t="s">
        <v>4406</v>
      </c>
      <c r="C734" s="3" t="s">
        <v>739</v>
      </c>
      <c r="D734" s="3" t="str">
        <f>T("徐光偉")</f>
        <v>徐光偉</v>
      </c>
      <c r="E734" s="3" t="str">
        <f>T("中國旅遊")</f>
        <v>中國旅遊</v>
      </c>
      <c r="F734" s="3">
        <v>18</v>
      </c>
      <c r="G734" s="3">
        <v>108</v>
      </c>
    </row>
    <row r="735" spans="1:7" ht="14.25">
      <c r="A735" s="3" t="str">
        <f>T("50322644")</f>
        <v>50322644</v>
      </c>
      <c r="B735" s="14" t="s">
        <v>4410</v>
      </c>
      <c r="C735" s="3" t="s">
        <v>740</v>
      </c>
      <c r="D735" s="3" t="str">
        <f>T(".")</f>
        <v>.</v>
      </c>
      <c r="E735" s="3" t="str">
        <f>T("中國旅遊")</f>
        <v>中國旅遊</v>
      </c>
      <c r="F735" s="3">
        <v>32</v>
      </c>
      <c r="G735" s="3">
        <v>192</v>
      </c>
    </row>
    <row r="736" spans="1:7" ht="14.25">
      <c r="A736" s="3" t="str">
        <f>T("50342254")</f>
        <v>50342254</v>
      </c>
      <c r="B736" s="14" t="s">
        <v>4412</v>
      </c>
      <c r="C736" s="3" t="s">
        <v>741</v>
      </c>
      <c r="D736" s="3" t="str">
        <f>T("沈重")</f>
        <v>沈重</v>
      </c>
      <c r="E736" s="3" t="str">
        <f>T("中國文史")</f>
        <v>中國文史</v>
      </c>
      <c r="F736" s="3">
        <v>25</v>
      </c>
      <c r="G736" s="3">
        <v>150</v>
      </c>
    </row>
    <row r="737" spans="1:7" ht="14.25">
      <c r="A737" s="3" t="str">
        <f>T("50342255")</f>
        <v>50342255</v>
      </c>
      <c r="B737" s="14" t="s">
        <v>4416</v>
      </c>
      <c r="C737" s="3" t="s">
        <v>742</v>
      </c>
      <c r="D737" s="3" t="str">
        <f>T("董迎建")</f>
        <v>董迎建</v>
      </c>
      <c r="E737" s="3" t="str">
        <f>T("中國文史")</f>
        <v>中國文史</v>
      </c>
      <c r="F737" s="3">
        <v>25</v>
      </c>
      <c r="G737" s="3">
        <v>150</v>
      </c>
    </row>
    <row r="738" spans="1:7" ht="14.25">
      <c r="A738" s="3" t="str">
        <f>T("50342256")</f>
        <v>50342256</v>
      </c>
      <c r="B738" s="14" t="s">
        <v>4419</v>
      </c>
      <c r="C738" s="3" t="s">
        <v>743</v>
      </c>
      <c r="D738" s="3" t="str">
        <f>T("王春瑜")</f>
        <v>王春瑜</v>
      </c>
      <c r="E738" s="3" t="str">
        <f>T("中國文史")</f>
        <v>中國文史</v>
      </c>
      <c r="F738" s="3">
        <v>27</v>
      </c>
      <c r="G738" s="3">
        <v>162</v>
      </c>
    </row>
    <row r="739" spans="1:7" ht="14.25">
      <c r="A739" s="3" t="str">
        <f>T("50342257")</f>
        <v>50342257</v>
      </c>
      <c r="B739" s="14" t="s">
        <v>4422</v>
      </c>
      <c r="C739" s="3" t="s">
        <v>744</v>
      </c>
      <c r="D739" s="3" t="str">
        <f>T("王春瑜")</f>
        <v>王春瑜</v>
      </c>
      <c r="E739" s="3" t="str">
        <f>T("中國文史")</f>
        <v>中國文史</v>
      </c>
      <c r="F739" s="3">
        <v>27</v>
      </c>
      <c r="G739" s="3">
        <v>162</v>
      </c>
    </row>
    <row r="740" spans="1:7" ht="14.25">
      <c r="A740" s="3" t="str">
        <f>T("50342258")</f>
        <v>50342258</v>
      </c>
      <c r="B740" s="14" t="s">
        <v>4424</v>
      </c>
      <c r="C740" s="3" t="s">
        <v>745</v>
      </c>
      <c r="D740" s="3" t="str">
        <f>T("王春瑜")</f>
        <v>王春瑜</v>
      </c>
      <c r="E740" s="3" t="str">
        <f>T("中國文史")</f>
        <v>中國文史</v>
      </c>
      <c r="F740" s="3">
        <v>28.8</v>
      </c>
      <c r="G740" s="3">
        <v>173</v>
      </c>
    </row>
    <row r="741" spans="1:7" ht="14.25">
      <c r="A741" s="3" t="str">
        <f>T("50342259")</f>
        <v>50342259</v>
      </c>
      <c r="B741" s="14" t="s">
        <v>4426</v>
      </c>
      <c r="C741" s="3" t="s">
        <v>746</v>
      </c>
      <c r="D741" s="3" t="str">
        <f>T("王春瑜")</f>
        <v>王春瑜</v>
      </c>
      <c r="E741" s="3" t="str">
        <f>T("中國文史")</f>
        <v>中國文史</v>
      </c>
      <c r="F741" s="3">
        <v>28</v>
      </c>
      <c r="G741" s="3">
        <v>168</v>
      </c>
    </row>
    <row r="742" spans="1:7" ht="14.25">
      <c r="A742" s="3" t="str">
        <f>T("50342260")</f>
        <v>50342260</v>
      </c>
      <c r="B742" s="14" t="s">
        <v>4428</v>
      </c>
      <c r="C742" s="3" t="s">
        <v>747</v>
      </c>
      <c r="D742" s="3" t="str">
        <f>T("曹晉傑")</f>
        <v>曹晉傑</v>
      </c>
      <c r="E742" s="3" t="str">
        <f>T("中國文史")</f>
        <v>中國文史</v>
      </c>
      <c r="F742" s="3">
        <v>27</v>
      </c>
      <c r="G742" s="3">
        <v>162</v>
      </c>
    </row>
    <row r="743" spans="1:7" ht="14.25">
      <c r="A743" s="3" t="str">
        <f>T("50342514")</f>
        <v>50342514</v>
      </c>
      <c r="B743" s="14" t="s">
        <v>4431</v>
      </c>
      <c r="C743" s="3" t="s">
        <v>748</v>
      </c>
      <c r="D743" s="3" t="str">
        <f>T("韓亞紅著")</f>
        <v>韓亞紅著</v>
      </c>
      <c r="E743" s="3" t="str">
        <f>T("中國文史")</f>
        <v>中國文史</v>
      </c>
      <c r="F743" s="3">
        <v>29.8</v>
      </c>
      <c r="G743" s="3">
        <v>179</v>
      </c>
    </row>
    <row r="744" spans="1:7" ht="14.25">
      <c r="A744" s="3" t="str">
        <f>T("50369893")</f>
        <v>50369893</v>
      </c>
      <c r="B744" s="14" t="s">
        <v>4434</v>
      </c>
      <c r="C744" s="3" t="s">
        <v>749</v>
      </c>
      <c r="D744" s="3" t="str">
        <f>T("張弓著")</f>
        <v>張弓著</v>
      </c>
      <c r="E744" s="3" t="str">
        <f>T("法律")</f>
        <v>法律</v>
      </c>
      <c r="F744" s="3">
        <v>23</v>
      </c>
      <c r="G744" s="3">
        <v>138</v>
      </c>
    </row>
    <row r="745" spans="1:7" ht="14.25">
      <c r="A745" s="3" t="str">
        <f>T("50384765")</f>
        <v>50384765</v>
      </c>
      <c r="B745" s="14" t="s">
        <v>4438</v>
      </c>
      <c r="C745" s="3" t="s">
        <v>750</v>
      </c>
      <c r="D745" s="3" t="str">
        <f>T("邵忠")</f>
        <v>邵忠</v>
      </c>
      <c r="E745" s="3" t="str">
        <f>T("中國林業")</f>
        <v>中國林業</v>
      </c>
      <c r="F745" s="3">
        <v>68</v>
      </c>
      <c r="G745" s="3">
        <v>408</v>
      </c>
    </row>
    <row r="746" spans="1:7" ht="14.25">
      <c r="A746" s="3" t="str">
        <f>T("50385086")</f>
        <v>50385086</v>
      </c>
      <c r="B746" s="14" t="s">
        <v>4442</v>
      </c>
      <c r="C746" s="3" t="s">
        <v>751</v>
      </c>
      <c r="D746" s="3" t="str">
        <f>T("中華人民共和國瀕危物種進出口管理辦公室")</f>
        <v>中華人民共和國瀕危物種進出口管理辦公室</v>
      </c>
      <c r="E746" s="3" t="str">
        <f>T("中國林業")</f>
        <v>中國林業</v>
      </c>
      <c r="F746" s="3">
        <v>88</v>
      </c>
      <c r="G746" s="3">
        <v>528</v>
      </c>
    </row>
    <row r="747" spans="1:7" ht="14.25">
      <c r="A747" s="3" t="str">
        <f>T("50393928")</f>
        <v>50393928</v>
      </c>
      <c r="B747" s="14" t="s">
        <v>4445</v>
      </c>
      <c r="C747" s="3" t="s">
        <v>752</v>
      </c>
      <c r="D747" s="3" t="str">
        <f>T("木兒")</f>
        <v>木兒</v>
      </c>
      <c r="E747" s="3" t="str">
        <f>T("文化藝術")</f>
        <v>文化藝術</v>
      </c>
      <c r="F747" s="3">
        <v>25</v>
      </c>
      <c r="G747" s="3">
        <v>150</v>
      </c>
    </row>
    <row r="748" spans="1:7" ht="14.25">
      <c r="A748" s="3" t="str">
        <f>T("50394326")</f>
        <v>50394326</v>
      </c>
      <c r="B748" s="14" t="s">
        <v>4449</v>
      </c>
      <c r="C748" s="3" t="s">
        <v>753</v>
      </c>
      <c r="D748" s="3" t="str">
        <f>T("羅怡")</f>
        <v>羅怡</v>
      </c>
      <c r="E748" s="3" t="str">
        <f>T("文化藝術")</f>
        <v>文化藝術</v>
      </c>
      <c r="F748" s="3">
        <v>48</v>
      </c>
      <c r="G748" s="3">
        <v>288</v>
      </c>
    </row>
    <row r="749" spans="1:7" ht="14.25">
      <c r="A749" s="3" t="str">
        <f>T("50394552")</f>
        <v>50394552</v>
      </c>
      <c r="B749" s="14" t="s">
        <v>4452</v>
      </c>
      <c r="C749" s="3" t="s">
        <v>754</v>
      </c>
      <c r="D749" s="3" t="str">
        <f>T("草軍書")</f>
        <v>草軍書</v>
      </c>
      <c r="E749" s="3" t="str">
        <f>T("文化藝術")</f>
        <v>文化藝術</v>
      </c>
      <c r="F749" s="3">
        <v>29.8</v>
      </c>
      <c r="G749" s="3">
        <v>179</v>
      </c>
    </row>
    <row r="750" spans="1:7" ht="14.25">
      <c r="A750" s="3" t="str">
        <f>T("50394639")</f>
        <v>50394639</v>
      </c>
      <c r="B750" s="14" t="s">
        <v>4455</v>
      </c>
      <c r="C750" s="3" t="s">
        <v>755</v>
      </c>
      <c r="D750" s="3" t="str">
        <f>T("祁定江")</f>
        <v>祁定江</v>
      </c>
      <c r="E750" s="3" t="str">
        <f>T("文化藝術")</f>
        <v>文化藝術</v>
      </c>
      <c r="F750" s="3">
        <v>22</v>
      </c>
      <c r="G750" s="3">
        <v>132</v>
      </c>
    </row>
    <row r="751" spans="1:7" ht="14.25">
      <c r="A751" s="3" t="str">
        <f>T("50433050")</f>
        <v>50433050</v>
      </c>
      <c r="B751" s="14" t="s">
        <v>4458</v>
      </c>
      <c r="C751" s="3" t="s">
        <v>756</v>
      </c>
      <c r="D751" s="3" t="str">
        <f>T("魏常海")</f>
        <v>魏常海</v>
      </c>
      <c r="E751" s="3" t="str">
        <f>T("廣播電視")</f>
        <v>廣播電視</v>
      </c>
      <c r="F751" s="3">
        <v>26</v>
      </c>
      <c r="G751" s="3">
        <v>156</v>
      </c>
    </row>
    <row r="752" spans="1:7" ht="14.25">
      <c r="A752" s="3" t="str">
        <f>T("50433051")</f>
        <v>50433051</v>
      </c>
      <c r="B752" s="14" t="s">
        <v>4461</v>
      </c>
      <c r="C752" s="3" t="s">
        <v>757</v>
      </c>
      <c r="D752" s="3" t="str">
        <f>T("朱光耀")</f>
        <v>朱光耀</v>
      </c>
      <c r="E752" s="3" t="str">
        <f>T("廣播電視")</f>
        <v>廣播電視</v>
      </c>
      <c r="F752" s="3">
        <v>27</v>
      </c>
      <c r="G752" s="3">
        <v>162</v>
      </c>
    </row>
    <row r="753" spans="1:7" ht="14.25">
      <c r="A753" s="3" t="str">
        <f>T("50434043")</f>
        <v>50434043</v>
      </c>
      <c r="B753" s="14" t="s">
        <v>4464</v>
      </c>
      <c r="C753" s="3" t="s">
        <v>758</v>
      </c>
      <c r="D753" s="3" t="str">
        <f>T("戴仁柱")</f>
        <v>戴仁柱</v>
      </c>
      <c r="E753" s="3" t="str">
        <f>T("廣播電視")</f>
        <v>廣播電視</v>
      </c>
      <c r="F753" s="3">
        <v>22</v>
      </c>
      <c r="G753" s="3">
        <v>132</v>
      </c>
    </row>
    <row r="754" spans="1:7" ht="14.25">
      <c r="A754" s="3" t="str">
        <f>T("50435760")</f>
        <v>50435760</v>
      </c>
      <c r="B754" s="14" t="s">
        <v>4466</v>
      </c>
      <c r="C754" s="3" t="s">
        <v>759</v>
      </c>
      <c r="D754" s="3" t="str">
        <f>T("蔣梅笙")</f>
        <v>蔣梅笙</v>
      </c>
      <c r="E754" s="3" t="str">
        <f>T("廣播電視")</f>
        <v>廣播電視</v>
      </c>
      <c r="F754" s="3">
        <v>26</v>
      </c>
      <c r="G754" s="3">
        <v>156</v>
      </c>
    </row>
    <row r="755" spans="1:7" ht="14.25">
      <c r="A755" s="3" t="str">
        <f>T("50435763")</f>
        <v>50435763</v>
      </c>
      <c r="B755" s="14" t="s">
        <v>4469</v>
      </c>
      <c r="C755" s="3" t="s">
        <v>760</v>
      </c>
      <c r="D755" s="3" t="str">
        <f>T("張國慶")</f>
        <v>張國慶</v>
      </c>
      <c r="E755" s="3" t="str">
        <f>T("廣播電視")</f>
        <v>廣播電視</v>
      </c>
      <c r="F755" s="3">
        <v>25</v>
      </c>
      <c r="G755" s="3">
        <v>150</v>
      </c>
    </row>
    <row r="756" spans="1:7" ht="14.25">
      <c r="A756" s="3" t="str">
        <f>T("50435766")</f>
        <v>50435766</v>
      </c>
      <c r="B756" s="14" t="s">
        <v>4472</v>
      </c>
      <c r="C756" s="3" t="s">
        <v>761</v>
      </c>
      <c r="D756" s="3" t="str">
        <f>T("葉海煙")</f>
        <v>葉海煙</v>
      </c>
      <c r="E756" s="3" t="str">
        <f>T("廣播電視")</f>
        <v>廣播電視</v>
      </c>
      <c r="F756" s="3">
        <v>26</v>
      </c>
      <c r="G756" s="3">
        <v>156</v>
      </c>
    </row>
    <row r="757" spans="1:7" ht="14.25">
      <c r="A757" s="3" t="str">
        <f>T("50435767")</f>
        <v>50435767</v>
      </c>
      <c r="B757" s="14" t="s">
        <v>4475</v>
      </c>
      <c r="C757" s="3" t="s">
        <v>762</v>
      </c>
      <c r="D757" s="3" t="str">
        <f>T("李一冉")</f>
        <v>李一冉</v>
      </c>
      <c r="E757" s="3" t="str">
        <f>T("廣播電視")</f>
        <v>廣播電視</v>
      </c>
      <c r="F757" s="3">
        <v>27</v>
      </c>
      <c r="G757" s="3">
        <v>162</v>
      </c>
    </row>
    <row r="758" spans="1:7" ht="14.25">
      <c r="A758" s="3" t="str">
        <f>T("50435768")</f>
        <v>50435768</v>
      </c>
      <c r="B758" s="14" t="s">
        <v>4478</v>
      </c>
      <c r="C758" s="3" t="s">
        <v>763</v>
      </c>
      <c r="D758" s="3" t="str">
        <f>T("李一冉")</f>
        <v>李一冉</v>
      </c>
      <c r="E758" s="3" t="str">
        <f>T("廣播電視")</f>
        <v>廣播電視</v>
      </c>
      <c r="F758" s="3">
        <v>24</v>
      </c>
      <c r="G758" s="3">
        <v>144</v>
      </c>
    </row>
    <row r="759" spans="1:7" ht="14.25">
      <c r="A759" s="3" t="str">
        <f>T("50436009")</f>
        <v>50436009</v>
      </c>
      <c r="B759" s="14" t="s">
        <v>4480</v>
      </c>
      <c r="C759" s="3" t="s">
        <v>764</v>
      </c>
      <c r="D759" s="3" t="str">
        <f>T("袁嶽")</f>
        <v>袁嶽</v>
      </c>
      <c r="E759" s="3" t="str">
        <f>T("廣播電視")</f>
        <v>廣播電視</v>
      </c>
      <c r="F759" s="3">
        <v>28</v>
      </c>
      <c r="G759" s="3">
        <v>168</v>
      </c>
    </row>
    <row r="760" spans="1:7" ht="14.25">
      <c r="A760" s="3" t="str">
        <f>T("50436089")</f>
        <v>50436089</v>
      </c>
      <c r="B760" s="14" t="s">
        <v>4483</v>
      </c>
      <c r="C760" s="3" t="s">
        <v>765</v>
      </c>
      <c r="D760" s="3" t="str">
        <f>T("劉敬堂")</f>
        <v>劉敬堂</v>
      </c>
      <c r="E760" s="3" t="str">
        <f>T("廣播電視")</f>
        <v>廣播電視</v>
      </c>
      <c r="F760" s="3">
        <v>26</v>
      </c>
      <c r="G760" s="3">
        <v>156</v>
      </c>
    </row>
    <row r="761" spans="1:7" ht="14.25">
      <c r="A761" s="3" t="str">
        <f>T("50436276")</f>
        <v>50436276</v>
      </c>
      <c r="B761" s="14" t="s">
        <v>4486</v>
      </c>
      <c r="C761" s="3" t="s">
        <v>766</v>
      </c>
      <c r="D761" s="3" t="str">
        <f>T("元坤")</f>
        <v>元坤</v>
      </c>
      <c r="E761" s="3" t="str">
        <f>T("廣播電視")</f>
        <v>廣播電視</v>
      </c>
      <c r="F761" s="3">
        <v>30</v>
      </c>
      <c r="G761" s="3">
        <v>180</v>
      </c>
    </row>
    <row r="762" spans="1:7" ht="14.25">
      <c r="A762" s="3" t="str">
        <f>T("50446856")</f>
        <v>50446856</v>
      </c>
      <c r="B762" s="14" t="s">
        <v>4489</v>
      </c>
      <c r="C762" s="3" t="s">
        <v>767</v>
      </c>
      <c r="D762" s="3" t="str">
        <f>T("王宇")</f>
        <v>王宇</v>
      </c>
      <c r="E762" s="3" t="str">
        <f>T("中國商業")</f>
        <v>中國商業</v>
      </c>
      <c r="F762" s="3">
        <v>35</v>
      </c>
      <c r="G762" s="3">
        <v>210</v>
      </c>
    </row>
    <row r="763" spans="1:7" ht="14.25">
      <c r="A763" s="3" t="str">
        <f>T("50465279")</f>
        <v>50465279</v>
      </c>
      <c r="B763" s="14" t="s">
        <v>4492</v>
      </c>
      <c r="C763" s="3" t="s">
        <v>768</v>
      </c>
      <c r="D763" s="3" t="str">
        <f>T("榆林市榆陽去古道研究室編")</f>
        <v>榆林市榆陽去古道研究室編</v>
      </c>
      <c r="E763" s="3" t="str">
        <f>T("中國科技")</f>
        <v>中國科技</v>
      </c>
      <c r="F763" s="3">
        <v>220</v>
      </c>
      <c r="G763" s="3">
        <v>1320</v>
      </c>
    </row>
    <row r="764" spans="1:7" ht="14.25">
      <c r="A764" s="3" t="str">
        <f>T("50465671")</f>
        <v>50465671</v>
      </c>
      <c r="B764" s="14" t="s">
        <v>4496</v>
      </c>
      <c r="C764" s="3" t="s">
        <v>769</v>
      </c>
      <c r="D764" s="3" t="str">
        <f>T("紅梅")</f>
        <v>紅梅</v>
      </c>
      <c r="E764" s="3" t="str">
        <f>T("中國科技")</f>
        <v>中國科技</v>
      </c>
      <c r="F764" s="3">
        <v>30</v>
      </c>
      <c r="G764" s="3">
        <v>180</v>
      </c>
    </row>
    <row r="765" spans="1:7" ht="14.25">
      <c r="A765" s="3" t="str">
        <f>T("50472444B")</f>
        <v>50472444B</v>
      </c>
      <c r="B765" s="14" t="s">
        <v>4499</v>
      </c>
      <c r="C765" s="3" t="s">
        <v>770</v>
      </c>
      <c r="D765" s="3" t="str">
        <f>T("朱寧虹編著")</f>
        <v>朱寧虹編著</v>
      </c>
      <c r="E765" s="3" t="str">
        <f>T("中國物資")</f>
        <v>中國物資</v>
      </c>
      <c r="F765" s="3">
        <v>32</v>
      </c>
      <c r="G765" s="3">
        <v>192</v>
      </c>
    </row>
    <row r="766" spans="1:7" ht="14.25">
      <c r="A766" s="3" t="str">
        <f>T("50472444C")</f>
        <v>50472444C</v>
      </c>
      <c r="B766" s="14" t="s">
        <v>4499</v>
      </c>
      <c r="C766" s="3" t="s">
        <v>771</v>
      </c>
      <c r="D766" s="3" t="str">
        <f>T("朱寧虹編著")</f>
        <v>朱寧虹編著</v>
      </c>
      <c r="E766" s="3" t="str">
        <f>T("中國物資")</f>
        <v>中國物資</v>
      </c>
      <c r="F766" s="3">
        <v>32</v>
      </c>
      <c r="G766" s="3">
        <v>192</v>
      </c>
    </row>
    <row r="767" spans="1:7" ht="14.25">
      <c r="A767" s="3" t="str">
        <f>T("50473276")</f>
        <v>50473276</v>
      </c>
      <c r="B767" s="14" t="s">
        <v>4504</v>
      </c>
      <c r="C767" s="3" t="s">
        <v>772</v>
      </c>
      <c r="D767" s="3" t="str">
        <f>T("照心著")</f>
        <v>照心著</v>
      </c>
      <c r="E767" s="3" t="str">
        <f>T("中國物資")</f>
        <v>中國物資</v>
      </c>
      <c r="F767" s="3">
        <v>25</v>
      </c>
      <c r="G767" s="3">
        <v>150</v>
      </c>
    </row>
    <row r="768" spans="1:7" ht="14.25">
      <c r="A768" s="3" t="str">
        <f>T("50541735")</f>
        <v>50541735</v>
      </c>
      <c r="B768" s="14" t="s">
        <v>4507</v>
      </c>
      <c r="C768" s="3" t="s">
        <v>773</v>
      </c>
      <c r="D768" s="3" t="str">
        <f>T("凜冽")</f>
        <v>凜冽</v>
      </c>
      <c r="E768" s="3" t="str">
        <f>T("朝華")</f>
        <v>朝華</v>
      </c>
      <c r="F768" s="3">
        <v>22</v>
      </c>
      <c r="G768" s="3">
        <v>132</v>
      </c>
    </row>
    <row r="769" spans="1:7" ht="14.25">
      <c r="A769" s="3" t="str">
        <f>T("50541816")</f>
        <v>50541816</v>
      </c>
      <c r="B769" s="14" t="s">
        <v>4511</v>
      </c>
      <c r="C769" s="3" t="s">
        <v>774</v>
      </c>
      <c r="D769" s="3" t="str">
        <f>T("紫貝")</f>
        <v>紫貝</v>
      </c>
      <c r="E769" s="3" t="str">
        <f>T("朝華")</f>
        <v>朝華</v>
      </c>
      <c r="F769" s="3">
        <v>22</v>
      </c>
      <c r="G769" s="3">
        <v>132</v>
      </c>
    </row>
    <row r="770" spans="1:7" ht="14.25">
      <c r="A770" s="3" t="str">
        <f>T("50542287")</f>
        <v>50542287</v>
      </c>
      <c r="B770" s="14" t="s">
        <v>4514</v>
      </c>
      <c r="C770" s="3" t="s">
        <v>775</v>
      </c>
      <c r="D770" s="3" t="str">
        <f>T("劉金松")</f>
        <v>劉金松</v>
      </c>
      <c r="E770" s="3" t="str">
        <f>T("朝華")</f>
        <v>朝華</v>
      </c>
      <c r="F770" s="3">
        <v>29.8</v>
      </c>
      <c r="G770" s="3">
        <v>179</v>
      </c>
    </row>
    <row r="771" spans="1:7" ht="14.25">
      <c r="A771" s="3" t="str">
        <f>T("50542288")</f>
        <v>50542288</v>
      </c>
      <c r="B771" s="14" t="s">
        <v>4517</v>
      </c>
      <c r="C771" s="3" t="s">
        <v>776</v>
      </c>
      <c r="D771" s="3" t="str">
        <f>T("周廣宇")</f>
        <v>周廣宇</v>
      </c>
      <c r="E771" s="3" t="str">
        <f>T("朝華")</f>
        <v>朝華</v>
      </c>
      <c r="F771" s="3">
        <v>39.8</v>
      </c>
      <c r="G771" s="3">
        <v>239</v>
      </c>
    </row>
    <row r="772" spans="1:7" ht="14.25">
      <c r="A772" s="3" t="str">
        <f>T("50542293")</f>
        <v>50542293</v>
      </c>
      <c r="B772" s="14" t="s">
        <v>4520</v>
      </c>
      <c r="C772" s="3" t="s">
        <v>777</v>
      </c>
      <c r="D772" s="3" t="str">
        <f>T("李世正")</f>
        <v>李世正</v>
      </c>
      <c r="E772" s="3" t="str">
        <f>T("朝華")</f>
        <v>朝華</v>
      </c>
      <c r="F772" s="3">
        <v>29.8</v>
      </c>
      <c r="G772" s="3">
        <v>179</v>
      </c>
    </row>
    <row r="773" spans="1:7" ht="14.25">
      <c r="A773" s="3" t="str">
        <f>T("50542294")</f>
        <v>50542294</v>
      </c>
      <c r="B773" s="14" t="s">
        <v>4523</v>
      </c>
      <c r="C773" s="3" t="s">
        <v>778</v>
      </c>
      <c r="D773" s="3" t="str">
        <f>T("張玉輝")</f>
        <v>張玉輝</v>
      </c>
      <c r="E773" s="3" t="str">
        <f>T("朝華")</f>
        <v>朝華</v>
      </c>
      <c r="F773" s="3">
        <v>29.8</v>
      </c>
      <c r="G773" s="3">
        <v>179</v>
      </c>
    </row>
    <row r="774" spans="1:7" ht="14.25">
      <c r="A774" s="3" t="str">
        <f>T("50542296")</f>
        <v>50542296</v>
      </c>
      <c r="B774" s="14" t="s">
        <v>4526</v>
      </c>
      <c r="C774" s="3" t="s">
        <v>779</v>
      </c>
      <c r="D774" s="3" t="str">
        <f>T("宋柘斌")</f>
        <v>宋柘斌</v>
      </c>
      <c r="E774" s="3" t="str">
        <f>T("朝華")</f>
        <v>朝華</v>
      </c>
      <c r="F774" s="3">
        <v>29.8</v>
      </c>
      <c r="G774" s="3">
        <v>179</v>
      </c>
    </row>
    <row r="775" spans="1:7" ht="14.25">
      <c r="A775" s="3" t="str">
        <f>T("50542423")</f>
        <v>50542423</v>
      </c>
      <c r="B775" s="14" t="s">
        <v>4529</v>
      </c>
      <c r="C775" s="3" t="s">
        <v>780</v>
      </c>
      <c r="D775" s="3" t="str">
        <f>T("漪微")</f>
        <v>漪微</v>
      </c>
      <c r="E775" s="3" t="str">
        <f>T("朝華")</f>
        <v>朝華</v>
      </c>
      <c r="F775" s="3">
        <v>29.8</v>
      </c>
      <c r="G775" s="3">
        <v>179</v>
      </c>
    </row>
    <row r="776" spans="1:7" ht="14.25">
      <c r="A776" s="3" t="str">
        <f>T("50588605")</f>
        <v>50588605</v>
      </c>
      <c r="B776" s="14" t="s">
        <v>4532</v>
      </c>
      <c r="C776" s="3" t="s">
        <v>781</v>
      </c>
      <c r="D776" s="3" t="str">
        <f>T("王忠偉.費素斌主編")</f>
        <v>王忠偉.費素斌主編</v>
      </c>
      <c r="E776" s="3" t="str">
        <f>T("經濟科學")</f>
        <v>經濟科學</v>
      </c>
      <c r="F776" s="3">
        <v>27</v>
      </c>
      <c r="G776" s="3">
        <v>162</v>
      </c>
    </row>
    <row r="777" spans="1:7" ht="14.25">
      <c r="A777" s="3" t="str">
        <f>T("50588656")</f>
        <v>50588656</v>
      </c>
      <c r="B777" s="14" t="s">
        <v>4536</v>
      </c>
      <c r="C777" s="3" t="s">
        <v>782</v>
      </c>
      <c r="D777" s="3" t="str">
        <f>T("王忠偉.王書漢主編")</f>
        <v>王忠偉.王書漢主編</v>
      </c>
      <c r="E777" s="3" t="str">
        <f>T("經濟科學")</f>
        <v>經濟科學</v>
      </c>
      <c r="F777" s="3">
        <v>30</v>
      </c>
      <c r="G777" s="3">
        <v>180</v>
      </c>
    </row>
    <row r="778" spans="1:7" ht="14.25">
      <c r="A778" s="3" t="str">
        <f>T("50595767")</f>
        <v>50595767</v>
      </c>
      <c r="B778" s="14" t="s">
        <v>4539</v>
      </c>
      <c r="C778" s="3" t="s">
        <v>783</v>
      </c>
      <c r="D778" s="3" t="str">
        <f>T("白庚勝")</f>
        <v>白庚勝</v>
      </c>
      <c r="E778" s="3" t="str">
        <f>T("中國文聯")</f>
        <v>中國文聯</v>
      </c>
      <c r="F778" s="3">
        <v>26.8</v>
      </c>
      <c r="G778" s="3">
        <v>161</v>
      </c>
    </row>
    <row r="779" spans="1:7" ht="14.25">
      <c r="A779" s="3" t="str">
        <f>T("50595772")</f>
        <v>50595772</v>
      </c>
      <c r="B779" s="14" t="s">
        <v>4546</v>
      </c>
      <c r="C779" s="3" t="s">
        <v>784</v>
      </c>
      <c r="D779" s="3" t="str">
        <f>T("張嘯濤")</f>
        <v>張嘯濤</v>
      </c>
      <c r="E779" s="3" t="str">
        <f>T("中國文聯")</f>
        <v>中國文聯</v>
      </c>
      <c r="F779" s="3">
        <v>19.8</v>
      </c>
      <c r="G779" s="3">
        <v>119</v>
      </c>
    </row>
    <row r="780" spans="1:7" ht="14.25">
      <c r="A780" s="3" t="str">
        <f>T("50595780")</f>
        <v>50595780</v>
      </c>
      <c r="B780" s="14" t="s">
        <v>4549</v>
      </c>
      <c r="C780" s="3" t="s">
        <v>785</v>
      </c>
      <c r="D780" s="3" t="str">
        <f>T("白庚勝")</f>
        <v>白庚勝</v>
      </c>
      <c r="E780" s="3" t="str">
        <f>T("中國文聯")</f>
        <v>中國文聯</v>
      </c>
      <c r="F780" s="3">
        <v>31.5</v>
      </c>
      <c r="G780" s="3">
        <v>189</v>
      </c>
    </row>
    <row r="781" spans="1:7" ht="14.25">
      <c r="A781" s="3" t="str">
        <f>T("50595781")</f>
        <v>50595781</v>
      </c>
      <c r="B781" s="14" t="s">
        <v>4551</v>
      </c>
      <c r="C781" s="3" t="s">
        <v>786</v>
      </c>
      <c r="D781" s="3" t="str">
        <f>T("張燕鷹")</f>
        <v>張燕鷹</v>
      </c>
      <c r="E781" s="3" t="str">
        <f>T("中國文聯")</f>
        <v>中國文聯</v>
      </c>
      <c r="F781" s="3">
        <v>26.5</v>
      </c>
      <c r="G781" s="3">
        <v>159</v>
      </c>
    </row>
    <row r="782" spans="1:7" ht="14.25">
      <c r="A782" s="3" t="str">
        <f>T("50595786")</f>
        <v>50595786</v>
      </c>
      <c r="B782" s="14" t="s">
        <v>4554</v>
      </c>
      <c r="C782" s="3" t="s">
        <v>787</v>
      </c>
      <c r="D782" s="3" t="str">
        <f>T("白庚勝")</f>
        <v>白庚勝</v>
      </c>
      <c r="E782" s="3" t="str">
        <f>T("中國文聯")</f>
        <v>中國文聯</v>
      </c>
      <c r="F782" s="3">
        <v>19.8</v>
      </c>
      <c r="G782" s="3">
        <v>119</v>
      </c>
    </row>
    <row r="783" spans="1:7" ht="14.25">
      <c r="A783" s="3" t="str">
        <f>T("50601729")</f>
        <v>50601729</v>
      </c>
      <c r="B783" s="14" t="s">
        <v>4556</v>
      </c>
      <c r="C783" s="3" t="s">
        <v>788</v>
      </c>
      <c r="D783" s="3" t="str">
        <f>T("[俄]M.B.古巴廖娃")</f>
        <v>[俄]M.B.古巴廖娃</v>
      </c>
      <c r="E783" s="3" t="str">
        <f>T("東方")</f>
        <v>東方</v>
      </c>
      <c r="F783" s="3">
        <v>38</v>
      </c>
      <c r="G783" s="3">
        <v>228</v>
      </c>
    </row>
    <row r="784" spans="1:7" ht="14.25">
      <c r="A784" s="3" t="str">
        <f>T("50602563")</f>
        <v>50602563</v>
      </c>
      <c r="B784" s="14" t="s">
        <v>4560</v>
      </c>
      <c r="C784" s="3" t="s">
        <v>789</v>
      </c>
      <c r="D784" s="3" t="str">
        <f>T("王士如")</f>
        <v>王士如</v>
      </c>
      <c r="E784" s="3" t="str">
        <f>T("東方")</f>
        <v>東方</v>
      </c>
      <c r="F784" s="3">
        <v>48</v>
      </c>
      <c r="G784" s="3">
        <v>288</v>
      </c>
    </row>
    <row r="785" spans="1:7" ht="14.25">
      <c r="A785" s="3" t="str">
        <f>T("50603261")</f>
        <v>50603261</v>
      </c>
      <c r="B785" s="14" t="s">
        <v>4563</v>
      </c>
      <c r="C785" s="3" t="s">
        <v>790</v>
      </c>
      <c r="D785" s="3" t="str">
        <f>T("劉占召著")</f>
        <v>劉占召著</v>
      </c>
      <c r="E785" s="3" t="str">
        <f>T("東方")</f>
        <v>東方</v>
      </c>
      <c r="F785" s="3">
        <v>48</v>
      </c>
      <c r="G785" s="3">
        <v>288</v>
      </c>
    </row>
    <row r="786" spans="1:7" ht="14.25">
      <c r="A786" s="3" t="str">
        <f>T("50603438")</f>
        <v>50603438</v>
      </c>
      <c r="B786" s="14" t="s">
        <v>4566</v>
      </c>
      <c r="C786" s="3" t="s">
        <v>791</v>
      </c>
      <c r="D786" s="3" t="str">
        <f>T("熊萬龍著")</f>
        <v>熊萬龍著</v>
      </c>
      <c r="E786" s="3" t="str">
        <f>T("東方")</f>
        <v>東方</v>
      </c>
      <c r="F786" s="3">
        <v>38</v>
      </c>
      <c r="G786" s="3">
        <v>228</v>
      </c>
    </row>
    <row r="787" spans="1:7" ht="14.25">
      <c r="A787" s="3" t="str">
        <f>T("50603475")</f>
        <v>50603475</v>
      </c>
      <c r="B787" s="14" t="s">
        <v>4569</v>
      </c>
      <c r="C787" s="3" t="s">
        <v>792</v>
      </c>
      <c r="D787" s="3" t="str">
        <f>T("吳越著")</f>
        <v>吳越著</v>
      </c>
      <c r="E787" s="3" t="str">
        <f>T("東方")</f>
        <v>東方</v>
      </c>
      <c r="F787" s="3">
        <v>28</v>
      </c>
      <c r="G787" s="3">
        <v>168</v>
      </c>
    </row>
    <row r="788" spans="1:7" ht="14.25">
      <c r="A788" s="3" t="str">
        <f>T("50603707")</f>
        <v>50603707</v>
      </c>
      <c r="B788" s="14" t="s">
        <v>4572</v>
      </c>
      <c r="C788" s="3" t="s">
        <v>793</v>
      </c>
      <c r="D788" s="3" t="str">
        <f>T("王忠和")</f>
        <v>王忠和</v>
      </c>
      <c r="E788" s="3" t="str">
        <f>T("東方")</f>
        <v>東方</v>
      </c>
      <c r="F788" s="3">
        <v>35</v>
      </c>
      <c r="G788" s="3">
        <v>210</v>
      </c>
    </row>
    <row r="789" spans="1:7" ht="14.25">
      <c r="A789" s="3" t="str">
        <f>T("50603827")</f>
        <v>50603827</v>
      </c>
      <c r="B789" s="14" t="s">
        <v>4575</v>
      </c>
      <c r="C789" s="3" t="s">
        <v>794</v>
      </c>
      <c r="D789" s="3" t="str">
        <f>T("馮紀忠")</f>
        <v>馮紀忠</v>
      </c>
      <c r="E789" s="3" t="str">
        <f>T("東方")</f>
        <v>東方</v>
      </c>
      <c r="F789" s="3">
        <v>40</v>
      </c>
      <c r="G789" s="3">
        <v>240</v>
      </c>
    </row>
    <row r="790" spans="1:7" ht="14.25">
      <c r="A790" s="3" t="str">
        <f>T("50603828")</f>
        <v>50603828</v>
      </c>
      <c r="B790" s="14" t="s">
        <v>4578</v>
      </c>
      <c r="C790" s="3" t="s">
        <v>795</v>
      </c>
      <c r="D790" s="3" t="str">
        <f>T("馮紀忠")</f>
        <v>馮紀忠</v>
      </c>
      <c r="E790" s="3" t="str">
        <f>T("東方")</f>
        <v>東方</v>
      </c>
      <c r="F790" s="3">
        <v>30</v>
      </c>
      <c r="G790" s="3">
        <v>180</v>
      </c>
    </row>
    <row r="791" spans="1:7" ht="14.25">
      <c r="A791" s="3" t="str">
        <f>T("50603835")</f>
        <v>50603835</v>
      </c>
      <c r="B791" s="14" t="s">
        <v>4580</v>
      </c>
      <c r="C791" s="3" t="s">
        <v>796</v>
      </c>
      <c r="D791" s="3" t="str">
        <f>T("唐兜")</f>
        <v>唐兜</v>
      </c>
      <c r="E791" s="3" t="str">
        <f>T("東方")</f>
        <v>東方</v>
      </c>
      <c r="F791" s="3">
        <v>28</v>
      </c>
      <c r="G791" s="3">
        <v>168</v>
      </c>
    </row>
    <row r="792" spans="1:7" ht="14.25">
      <c r="A792" s="3" t="str">
        <f>T("50603857")</f>
        <v>50603857</v>
      </c>
      <c r="B792" s="14" t="s">
        <v>4583</v>
      </c>
      <c r="C792" s="3" t="s">
        <v>797</v>
      </c>
      <c r="D792" s="3" t="str">
        <f>T("周天慶. 著")</f>
        <v>周天慶. 著</v>
      </c>
      <c r="E792" s="3" t="str">
        <f>T("東方")</f>
        <v>東方</v>
      </c>
      <c r="F792" s="3">
        <v>78</v>
      </c>
      <c r="G792" s="3">
        <v>468</v>
      </c>
    </row>
    <row r="793" spans="1:7" ht="14.25">
      <c r="A793" s="3" t="str">
        <f>T("50628946")</f>
        <v>50628946</v>
      </c>
      <c r="B793" s="14" t="s">
        <v>4586</v>
      </c>
      <c r="C793" s="3" t="s">
        <v>798</v>
      </c>
      <c r="D793" s="3" t="str">
        <f>T("泰山管理處")</f>
        <v>泰山管理處</v>
      </c>
      <c r="E793" s="3" t="str">
        <f>T("北京圖書館")</f>
        <v>北京圖書館</v>
      </c>
      <c r="F793" s="3">
        <v>28</v>
      </c>
      <c r="G793" s="3">
        <v>168</v>
      </c>
    </row>
    <row r="794" spans="1:7" ht="14.25">
      <c r="A794" s="3" t="str">
        <f>T("50628948")</f>
        <v>50628948</v>
      </c>
      <c r="B794" s="14" t="s">
        <v>4589</v>
      </c>
      <c r="C794" s="3" t="s">
        <v>799</v>
      </c>
      <c r="D794" s="3" t="str">
        <f>T("崔曉霞")</f>
        <v>崔曉霞</v>
      </c>
      <c r="E794" s="3" t="str">
        <f>T("北京圖書館")</f>
        <v>北京圖書館</v>
      </c>
      <c r="F794" s="3">
        <v>28</v>
      </c>
      <c r="G794" s="3">
        <v>168</v>
      </c>
    </row>
    <row r="795" spans="1:7" ht="14.25">
      <c r="A795" s="3" t="str">
        <f>T("50628949")</f>
        <v>50628949</v>
      </c>
      <c r="B795" s="14" t="s">
        <v>4592</v>
      </c>
      <c r="C795" s="3" t="s">
        <v>800</v>
      </c>
      <c r="D795" s="3" t="str">
        <f>T("王雲剛編著")</f>
        <v>王雲剛編著</v>
      </c>
      <c r="E795" s="3" t="str">
        <f>T("北京圖書館")</f>
        <v>北京圖書館</v>
      </c>
      <c r="F795" s="3">
        <v>28</v>
      </c>
      <c r="G795" s="3">
        <v>168</v>
      </c>
    </row>
    <row r="796" spans="1:7" ht="14.25">
      <c r="A796" s="3" t="str">
        <f>T("50628950")</f>
        <v>50628950</v>
      </c>
      <c r="B796" s="14" t="s">
        <v>4595</v>
      </c>
      <c r="C796" s="3" t="s">
        <v>801</v>
      </c>
      <c r="D796" s="3" t="str">
        <f>T("殷墟管理處")</f>
        <v>殷墟管理處</v>
      </c>
      <c r="E796" s="3" t="str">
        <f>T("北京圖書館")</f>
        <v>北京圖書館</v>
      </c>
      <c r="F796" s="3">
        <v>28</v>
      </c>
      <c r="G796" s="3">
        <v>168</v>
      </c>
    </row>
    <row r="797" spans="1:7" ht="14.25">
      <c r="A797" s="3" t="str">
        <f>T("50629023")</f>
        <v>50629023</v>
      </c>
      <c r="B797" s="14" t="s">
        <v>4598</v>
      </c>
      <c r="C797" s="3" t="s">
        <v>802</v>
      </c>
      <c r="D797" s="3" t="str">
        <f>T("傅如明")</f>
        <v>傅如明</v>
      </c>
      <c r="E797" s="3" t="str">
        <f>T("世界圖書")</f>
        <v>世界圖書</v>
      </c>
      <c r="F797" s="3">
        <v>98</v>
      </c>
      <c r="G797" s="3">
        <v>588</v>
      </c>
    </row>
    <row r="798" spans="1:7" ht="14.25">
      <c r="A798" s="3" t="str">
        <f>T("50629121")</f>
        <v>50629121</v>
      </c>
      <c r="B798" s="14" t="s">
        <v>4602</v>
      </c>
      <c r="C798" s="3" t="s">
        <v>803</v>
      </c>
      <c r="D798" s="3" t="str">
        <f>T("天壇管理處")</f>
        <v>天壇管理處</v>
      </c>
      <c r="E798" s="3" t="str">
        <f>T("北京圖書館")</f>
        <v>北京圖書館</v>
      </c>
      <c r="F798" s="3">
        <v>28</v>
      </c>
      <c r="G798" s="3">
        <v>168</v>
      </c>
    </row>
    <row r="799" spans="1:7" ht="14.25">
      <c r="A799" s="3" t="str">
        <f>T("50629518")</f>
        <v>50629518</v>
      </c>
      <c r="B799" s="14" t="s">
        <v>2236</v>
      </c>
      <c r="C799" s="3" t="s">
        <v>804</v>
      </c>
      <c r="D799" s="3" t="str">
        <f>T("王銘銘")</f>
        <v>王銘銘</v>
      </c>
      <c r="E799" s="3" t="str">
        <f>T("世界圖書")</f>
        <v>世界圖書</v>
      </c>
      <c r="F799" s="3">
        <v>68</v>
      </c>
      <c r="G799" s="3">
        <v>408</v>
      </c>
    </row>
    <row r="800" spans="1:7" ht="14.25">
      <c r="A800" s="3" t="str">
        <f>T("50629569")</f>
        <v>50629569</v>
      </c>
      <c r="B800" s="14" t="s">
        <v>4607</v>
      </c>
      <c r="C800" s="3" t="s">
        <v>805</v>
      </c>
      <c r="D800" s="3" t="str">
        <f>T("楊念群")</f>
        <v>楊念群</v>
      </c>
      <c r="E800" s="3">
        <f>T("")</f>
      </c>
      <c r="F800" s="3">
        <v>18</v>
      </c>
      <c r="G800" s="3">
        <v>108</v>
      </c>
    </row>
    <row r="801" spans="1:7" ht="14.25">
      <c r="A801" s="3" t="str">
        <f>T("50629594")</f>
        <v>50629594</v>
      </c>
      <c r="B801" s="14" t="s">
        <v>2236</v>
      </c>
      <c r="C801" s="3" t="s">
        <v>806</v>
      </c>
      <c r="D801" s="3" t="str">
        <f>T("格桑澤人")</f>
        <v>格桑澤人</v>
      </c>
      <c r="E801" s="3" t="str">
        <f>T("世界圖書")</f>
        <v>世界圖書</v>
      </c>
      <c r="F801" s="3">
        <v>29</v>
      </c>
      <c r="G801" s="3">
        <v>174</v>
      </c>
    </row>
    <row r="802" spans="1:7" ht="14.25">
      <c r="A802" s="3" t="str">
        <f>T("50629725")</f>
        <v>50629725</v>
      </c>
      <c r="B802" s="14" t="s">
        <v>4612</v>
      </c>
      <c r="C802" s="3" t="s">
        <v>807</v>
      </c>
      <c r="D802" s="3" t="str">
        <f>T("蘇州管理處和綠化管理處")</f>
        <v>蘇州管理處和綠化管理處</v>
      </c>
      <c r="E802" s="3" t="str">
        <f>T("北京圖書館")</f>
        <v>北京圖書館</v>
      </c>
      <c r="F802" s="3">
        <v>28</v>
      </c>
      <c r="G802" s="3">
        <v>168</v>
      </c>
    </row>
    <row r="803" spans="1:7" ht="14.25">
      <c r="A803" s="3" t="str">
        <f>T("50629726")</f>
        <v>50629726</v>
      </c>
      <c r="B803" s="14" t="s">
        <v>4615</v>
      </c>
      <c r="C803" s="3" t="s">
        <v>808</v>
      </c>
      <c r="D803" s="3" t="str">
        <f>T("朱南平")</f>
        <v>朱南平</v>
      </c>
      <c r="E803" s="3" t="str">
        <f>T("上海世界")</f>
        <v>上海世界</v>
      </c>
      <c r="F803" s="3">
        <v>98</v>
      </c>
      <c r="G803" s="3">
        <v>588</v>
      </c>
    </row>
    <row r="804" spans="1:7" ht="14.25">
      <c r="A804" s="3" t="str">
        <f>T("50633845")</f>
        <v>50633845</v>
      </c>
      <c r="B804" s="14" t="s">
        <v>4619</v>
      </c>
      <c r="C804" s="3" t="s">
        <v>809</v>
      </c>
      <c r="D804" s="3" t="str">
        <f>T("0")</f>
        <v>0</v>
      </c>
      <c r="E804" s="3" t="str">
        <f>T("作家")</f>
        <v>作家</v>
      </c>
      <c r="F804" s="3">
        <v>25</v>
      </c>
      <c r="G804" s="3">
        <v>150</v>
      </c>
    </row>
    <row r="805" spans="1:7" ht="14.25">
      <c r="A805" s="3" t="str">
        <f>T("50633846")</f>
        <v>50633846</v>
      </c>
      <c r="B805" s="14" t="s">
        <v>4622</v>
      </c>
      <c r="C805" s="3" t="s">
        <v>810</v>
      </c>
      <c r="D805" s="3" t="str">
        <f>T("格非")</f>
        <v>格非</v>
      </c>
      <c r="E805" s="3" t="str">
        <f>T("作家")</f>
        <v>作家</v>
      </c>
      <c r="F805" s="3">
        <v>25</v>
      </c>
      <c r="G805" s="3">
        <v>150</v>
      </c>
    </row>
    <row r="806" spans="1:7" ht="14.25">
      <c r="A806" s="3" t="str">
        <f>T("50634573")</f>
        <v>50634573</v>
      </c>
      <c r="B806" s="14" t="s">
        <v>4625</v>
      </c>
      <c r="C806" s="3" t="s">
        <v>811</v>
      </c>
      <c r="D806" s="3" t="str">
        <f>T("熊召政")</f>
        <v>熊召政</v>
      </c>
      <c r="E806" s="3" t="str">
        <f>T("作家")</f>
        <v>作家</v>
      </c>
      <c r="F806" s="3">
        <v>22</v>
      </c>
      <c r="G806" s="3">
        <v>132</v>
      </c>
    </row>
    <row r="807" spans="1:7" ht="14.25">
      <c r="A807" s="3" t="str">
        <f>T("50635290")</f>
        <v>50635290</v>
      </c>
      <c r="B807" s="14" t="s">
        <v>4628</v>
      </c>
      <c r="C807" s="3" t="s">
        <v>812</v>
      </c>
      <c r="D807" s="3" t="str">
        <f>T("嚴歌苓")</f>
        <v>嚴歌苓</v>
      </c>
      <c r="E807" s="3" t="str">
        <f>T("作家")</f>
        <v>作家</v>
      </c>
      <c r="F807" s="3">
        <v>20</v>
      </c>
      <c r="G807" s="3">
        <v>120</v>
      </c>
    </row>
    <row r="808" spans="1:7" ht="14.25">
      <c r="A808" s="3" t="str">
        <f>T("50643338")</f>
        <v>50643338</v>
      </c>
      <c r="B808" s="14" t="s">
        <v>4631</v>
      </c>
      <c r="C808" s="3" t="s">
        <v>813</v>
      </c>
      <c r="D808" s="3" t="str">
        <f>T("尤珈")</f>
        <v>尤珈</v>
      </c>
      <c r="E808" s="3">
        <f>T("")</f>
      </c>
      <c r="F808" s="3">
        <v>25</v>
      </c>
      <c r="G808" s="3">
        <v>150</v>
      </c>
    </row>
    <row r="809" spans="1:7" ht="14.25">
      <c r="A809" s="3" t="str">
        <f>T("50663465")</f>
        <v>50663465</v>
      </c>
      <c r="B809" s="14" t="s">
        <v>4642</v>
      </c>
      <c r="C809" s="3" t="s">
        <v>814</v>
      </c>
      <c r="D809" s="3" t="str">
        <f>T("佚名")</f>
        <v>佚名</v>
      </c>
      <c r="E809" s="3" t="str">
        <f>T("中國書店")</f>
        <v>中國書店</v>
      </c>
      <c r="F809" s="3">
        <v>18000</v>
      </c>
      <c r="G809" s="3">
        <v>108000</v>
      </c>
    </row>
    <row r="810" spans="1:7" ht="14.25">
      <c r="A810" s="3" t="str">
        <f>T("50681433")</f>
        <v>50681433</v>
      </c>
      <c r="B810" s="14" t="s">
        <v>4645</v>
      </c>
      <c r="C810" s="3" t="s">
        <v>815</v>
      </c>
      <c r="D810" s="3" t="str">
        <f>T("胡懷琛著")</f>
        <v>胡懷琛著</v>
      </c>
      <c r="E810" s="3" t="str">
        <f>T("中國書籍")</f>
        <v>中國書籍</v>
      </c>
      <c r="F810" s="3">
        <v>16</v>
      </c>
      <c r="G810" s="3">
        <v>96</v>
      </c>
    </row>
    <row r="811" spans="1:7" ht="14.25">
      <c r="A811" s="3" t="str">
        <f>T("50681866")</f>
        <v>50681866</v>
      </c>
      <c r="B811" s="14" t="s">
        <v>4649</v>
      </c>
      <c r="C811" s="3" t="s">
        <v>816</v>
      </c>
      <c r="D811" s="3" t="str">
        <f>T("郭燦金")</f>
        <v>郭燦金</v>
      </c>
      <c r="E811" s="3" t="str">
        <f>T("中國書籍")</f>
        <v>中國書籍</v>
      </c>
      <c r="F811" s="3">
        <v>38</v>
      </c>
      <c r="G811" s="3">
        <v>228</v>
      </c>
    </row>
    <row r="812" spans="1:7" ht="14.25">
      <c r="A812" s="3" t="str">
        <f>T("50751863")</f>
        <v>50751863</v>
      </c>
      <c r="B812" s="14" t="s">
        <v>4652</v>
      </c>
      <c r="C812" s="3" t="s">
        <v>817</v>
      </c>
      <c r="D812" s="3" t="str">
        <f>T("周冰心")</f>
        <v>周冰心</v>
      </c>
      <c r="E812" s="3" t="str">
        <f>T("華文")</f>
        <v>華文</v>
      </c>
      <c r="F812" s="3">
        <v>25</v>
      </c>
      <c r="G812" s="3">
        <v>150</v>
      </c>
    </row>
    <row r="813" spans="1:7" ht="14.25">
      <c r="A813" s="3" t="str">
        <f>T("50752290")</f>
        <v>50752290</v>
      </c>
      <c r="B813" s="14" t="s">
        <v>4656</v>
      </c>
      <c r="C813" s="3" t="s">
        <v>818</v>
      </c>
      <c r="D813" s="3" t="str">
        <f>T("夢三生")</f>
        <v>夢三生</v>
      </c>
      <c r="E813" s="3" t="str">
        <f>T("華文")</f>
        <v>華文</v>
      </c>
      <c r="F813" s="3">
        <v>25</v>
      </c>
      <c r="G813" s="3">
        <v>150</v>
      </c>
    </row>
    <row r="814" spans="1:7" ht="14.25">
      <c r="A814" s="3" t="str">
        <f>T("50752691")</f>
        <v>50752691</v>
      </c>
      <c r="B814" s="14" t="s">
        <v>4659</v>
      </c>
      <c r="C814" s="3" t="s">
        <v>819</v>
      </c>
      <c r="D814" s="3" t="str">
        <f>T("魏新")</f>
        <v>魏新</v>
      </c>
      <c r="E814" s="3" t="str">
        <f>T("華文")</f>
        <v>華文</v>
      </c>
      <c r="F814" s="3">
        <v>28.8</v>
      </c>
      <c r="G814" s="3">
        <v>173</v>
      </c>
    </row>
    <row r="815" spans="1:7" ht="14.25">
      <c r="A815" s="3" t="str">
        <f>T("50752693")</f>
        <v>50752693</v>
      </c>
      <c r="B815" s="14" t="s">
        <v>4662</v>
      </c>
      <c r="C815" s="3" t="s">
        <v>820</v>
      </c>
      <c r="D815" s="3" t="str">
        <f>T("桔桔")</f>
        <v>桔桔</v>
      </c>
      <c r="E815" s="3" t="str">
        <f>T("華文")</f>
        <v>華文</v>
      </c>
      <c r="F815" s="3">
        <v>23</v>
      </c>
      <c r="G815" s="3">
        <v>138</v>
      </c>
    </row>
    <row r="816" spans="1:7" ht="14.25">
      <c r="A816" s="3" t="str">
        <f>T("50771821")</f>
        <v>50771821</v>
      </c>
      <c r="B816" s="14" t="s">
        <v>4665</v>
      </c>
      <c r="C816" s="3" t="s">
        <v>821</v>
      </c>
      <c r="D816" s="3" t="str">
        <f>T("常人春")</f>
        <v>常人春</v>
      </c>
      <c r="E816" s="3" t="str">
        <f>T("學苑")</f>
        <v>學苑</v>
      </c>
      <c r="F816" s="3">
        <v>25</v>
      </c>
      <c r="G816" s="3">
        <v>150</v>
      </c>
    </row>
    <row r="817" spans="1:7" ht="14.25">
      <c r="A817" s="3" t="str">
        <f>T("50772154")</f>
        <v>50772154</v>
      </c>
      <c r="B817" s="14" t="s">
        <v>4669</v>
      </c>
      <c r="C817" s="3" t="s">
        <v>822</v>
      </c>
      <c r="D817" s="3" t="str">
        <f>T("丁元松")</f>
        <v>丁元松</v>
      </c>
      <c r="E817" s="3" t="str">
        <f>T("學苑")</f>
        <v>學苑</v>
      </c>
      <c r="F817" s="3">
        <v>12</v>
      </c>
      <c r="G817" s="3">
        <v>72</v>
      </c>
    </row>
    <row r="818" spans="1:7" ht="14.25">
      <c r="A818" s="3" t="str">
        <f>T("50772901")</f>
        <v>50772901</v>
      </c>
      <c r="B818" s="14" t="s">
        <v>4672</v>
      </c>
      <c r="C818" s="3" t="s">
        <v>823</v>
      </c>
      <c r="D818" s="3" t="str">
        <f>T("劉航")</f>
        <v>劉航</v>
      </c>
      <c r="E818" s="3" t="str">
        <f>T("學苑")</f>
        <v>學苑</v>
      </c>
      <c r="F818" s="3">
        <v>25</v>
      </c>
      <c r="G818" s="3">
        <v>150</v>
      </c>
    </row>
    <row r="819" spans="1:7" ht="14.25">
      <c r="A819" s="3" t="str">
        <f>T("50772910")</f>
        <v>50772910</v>
      </c>
      <c r="B819" s="14" t="s">
        <v>4675</v>
      </c>
      <c r="C819" s="3" t="s">
        <v>824</v>
      </c>
      <c r="D819" s="3" t="str">
        <f>T("熊文華")</f>
        <v>熊文華</v>
      </c>
      <c r="E819" s="3" t="str">
        <f>T("學苑")</f>
        <v>學苑</v>
      </c>
      <c r="F819" s="3">
        <v>42</v>
      </c>
      <c r="G819" s="3">
        <v>252</v>
      </c>
    </row>
    <row r="820" spans="1:7" ht="14.25">
      <c r="A820" s="3" t="str">
        <f>T("50772911")</f>
        <v>50772911</v>
      </c>
      <c r="B820" s="14" t="s">
        <v>4678</v>
      </c>
      <c r="C820" s="3" t="s">
        <v>4</v>
      </c>
      <c r="D820" s="3" t="str">
        <f>T("中國民俗學會，北京民俗博物館[編]")</f>
        <v>中國民俗學會，北京民俗博物館[編]</v>
      </c>
      <c r="E820" s="3" t="str">
        <f>T("學苑")</f>
        <v>學苑</v>
      </c>
      <c r="F820" s="3">
        <v>48</v>
      </c>
      <c r="G820" s="3">
        <v>288</v>
      </c>
    </row>
    <row r="821" spans="1:7" ht="14.25">
      <c r="A821" s="3" t="str">
        <f>T("50772930")</f>
        <v>50772930</v>
      </c>
      <c r="B821" s="14" t="s">
        <v>4681</v>
      </c>
      <c r="C821" s="3" t="s">
        <v>825</v>
      </c>
      <c r="D821" s="3" t="str">
        <f>T("龍頌江")</f>
        <v>龍頌江</v>
      </c>
      <c r="E821" s="3" t="str">
        <f>T("學苑")</f>
        <v>學苑</v>
      </c>
      <c r="F821" s="3">
        <v>146</v>
      </c>
      <c r="G821" s="3">
        <v>876</v>
      </c>
    </row>
    <row r="822" spans="1:7" ht="14.25">
      <c r="A822" s="3" t="str">
        <f>T("50772931")</f>
        <v>50772931</v>
      </c>
      <c r="B822" s="14" t="s">
        <v>4684</v>
      </c>
      <c r="C822" s="3" t="s">
        <v>826</v>
      </c>
      <c r="D822" s="3" t="str">
        <f>T("汪為勝")</f>
        <v>汪為勝</v>
      </c>
      <c r="E822" s="3" t="str">
        <f>T("學苑")</f>
        <v>學苑</v>
      </c>
      <c r="F822" s="3">
        <v>88</v>
      </c>
      <c r="G822" s="3">
        <v>528</v>
      </c>
    </row>
    <row r="823" spans="1:7" ht="14.25">
      <c r="A823" s="3" t="str">
        <f>T("50772960")</f>
        <v>50772960</v>
      </c>
      <c r="B823" s="14" t="s">
        <v>4687</v>
      </c>
      <c r="C823" s="3" t="s">
        <v>827</v>
      </c>
      <c r="D823" s="3" t="str">
        <f>T("劉陽")</f>
        <v>劉陽</v>
      </c>
      <c r="E823" s="3" t="str">
        <f>T("學苑")</f>
        <v>學苑</v>
      </c>
      <c r="F823" s="3">
        <v>38</v>
      </c>
      <c r="G823" s="3">
        <v>228</v>
      </c>
    </row>
    <row r="824" spans="1:7" ht="14.25">
      <c r="A824" s="3" t="str">
        <f>T("50772996")</f>
        <v>50772996</v>
      </c>
      <c r="B824" s="14" t="s">
        <v>4690</v>
      </c>
      <c r="C824" s="3" t="s">
        <v>828</v>
      </c>
      <c r="D824" s="3" t="str">
        <f>T("肖佩華")</f>
        <v>肖佩華</v>
      </c>
      <c r="E824" s="3" t="str">
        <f>T("學苑")</f>
        <v>學苑</v>
      </c>
      <c r="F824" s="3">
        <v>30</v>
      </c>
      <c r="G824" s="3">
        <v>180</v>
      </c>
    </row>
    <row r="825" spans="1:7" ht="14.25">
      <c r="A825" s="3" t="str">
        <f>T("50773003")</f>
        <v>50773003</v>
      </c>
      <c r="B825" s="14" t="s">
        <v>4693</v>
      </c>
      <c r="C825" s="3" t="s">
        <v>829</v>
      </c>
      <c r="D825" s="3" t="str">
        <f>T("楊仲文")</f>
        <v>楊仲文</v>
      </c>
      <c r="E825" s="3" t="str">
        <f>T("學苑")</f>
        <v>學苑</v>
      </c>
      <c r="F825" s="3">
        <v>40</v>
      </c>
      <c r="G825" s="3">
        <v>240</v>
      </c>
    </row>
    <row r="826" spans="1:7" ht="14.25">
      <c r="A826" s="3" t="str">
        <f>T("50773020")</f>
        <v>50773020</v>
      </c>
      <c r="B826" s="14" t="s">
        <v>4696</v>
      </c>
      <c r="C826" s="3" t="s">
        <v>830</v>
      </c>
      <c r="D826" s="3" t="str">
        <f>T("岡大路著")</f>
        <v>岡大路著</v>
      </c>
      <c r="E826" s="3" t="str">
        <f>T("學苑")</f>
        <v>學苑</v>
      </c>
      <c r="F826" s="3">
        <v>48</v>
      </c>
      <c r="G826" s="3">
        <v>288</v>
      </c>
    </row>
    <row r="827" spans="1:7" ht="14.25">
      <c r="A827" s="3" t="str">
        <f>T("50773272")</f>
        <v>50773272</v>
      </c>
      <c r="B827" s="14" t="s">
        <v>4699</v>
      </c>
      <c r="C827" s="3" t="s">
        <v>831</v>
      </c>
      <c r="D827" s="3" t="str">
        <f>T("王麗陽")</f>
        <v>王麗陽</v>
      </c>
      <c r="E827" s="3" t="str">
        <f>T("學苑")</f>
        <v>學苑</v>
      </c>
      <c r="F827" s="3">
        <v>76</v>
      </c>
      <c r="G827" s="3">
        <v>456</v>
      </c>
    </row>
    <row r="828" spans="1:7" ht="14.25">
      <c r="A828" s="3" t="str">
        <f>T("50773306")</f>
        <v>50773306</v>
      </c>
      <c r="B828" s="14" t="s">
        <v>4702</v>
      </c>
      <c r="C828" s="3" t="s">
        <v>832</v>
      </c>
      <c r="D828" s="3" t="str">
        <f>T("徐征")</f>
        <v>徐征</v>
      </c>
      <c r="E828" s="3" t="str">
        <f>T("學苑")</f>
        <v>學苑</v>
      </c>
      <c r="F828" s="3">
        <v>48</v>
      </c>
      <c r="G828" s="3">
        <v>288</v>
      </c>
    </row>
    <row r="829" spans="1:7" ht="14.25">
      <c r="A829" s="3" t="str">
        <f>T("50773347")</f>
        <v>50773347</v>
      </c>
      <c r="B829" s="14" t="s">
        <v>4705</v>
      </c>
      <c r="C829" s="3" t="s">
        <v>833</v>
      </c>
      <c r="D829" s="3" t="str">
        <f>T("佚名")</f>
        <v>佚名</v>
      </c>
      <c r="E829" s="3" t="str">
        <f>T("學苑")</f>
        <v>學苑</v>
      </c>
      <c r="F829" s="3">
        <v>900</v>
      </c>
      <c r="G829" s="3">
        <v>5400</v>
      </c>
    </row>
    <row r="830" spans="1:7" ht="14.25">
      <c r="A830" s="3" t="str">
        <f>T("50773358")</f>
        <v>50773358</v>
      </c>
      <c r="B830" s="14" t="s">
        <v>4707</v>
      </c>
      <c r="C830" s="3" t="s">
        <v>834</v>
      </c>
      <c r="D830" s="3" t="str">
        <f>T("徐安琪")</f>
        <v>徐安琪</v>
      </c>
      <c r="E830" s="3" t="str">
        <f>T("學苑")</f>
        <v>學苑</v>
      </c>
      <c r="F830" s="3">
        <v>32</v>
      </c>
      <c r="G830" s="3">
        <v>192</v>
      </c>
    </row>
    <row r="831" spans="1:7" ht="14.25">
      <c r="A831" s="3" t="str">
        <f>T("50773460")</f>
        <v>50773460</v>
      </c>
      <c r="B831" s="14" t="s">
        <v>4710</v>
      </c>
      <c r="C831" s="3" t="s">
        <v>835</v>
      </c>
      <c r="D831" s="3" t="str">
        <f>T("焦晉林. 著")</f>
        <v>焦晉林. 著</v>
      </c>
      <c r="E831" s="3" t="str">
        <f>T("學苑")</f>
        <v>學苑</v>
      </c>
      <c r="F831" s="3">
        <v>39</v>
      </c>
      <c r="G831" s="3">
        <v>234</v>
      </c>
    </row>
    <row r="832" spans="1:7" ht="14.25">
      <c r="A832" s="3" t="str">
        <f>T("50782773")</f>
        <v>50782773</v>
      </c>
      <c r="B832" s="14" t="s">
        <v>4713</v>
      </c>
      <c r="C832" s="3" t="s">
        <v>836</v>
      </c>
      <c r="D832" s="3" t="str">
        <f>T("夏家餕著")</f>
        <v>夏家餕著</v>
      </c>
      <c r="E832" s="3" t="str">
        <f>T("國際廣播")</f>
        <v>國際廣播</v>
      </c>
      <c r="F832" s="3">
        <v>28</v>
      </c>
      <c r="G832" s="3">
        <v>168</v>
      </c>
    </row>
    <row r="833" spans="1:7" ht="14.25">
      <c r="A833" s="3" t="str">
        <f>T("50782793")</f>
        <v>50782793</v>
      </c>
      <c r="B833" s="14" t="s">
        <v>4717</v>
      </c>
      <c r="C833" s="3" t="s">
        <v>837</v>
      </c>
      <c r="D833" s="3" t="str">
        <f>T("金性堯")</f>
        <v>金性堯</v>
      </c>
      <c r="E833" s="3" t="str">
        <f>T("國際廣播")</f>
        <v>國際廣播</v>
      </c>
      <c r="F833" s="3">
        <v>29</v>
      </c>
      <c r="G833" s="3">
        <v>174</v>
      </c>
    </row>
    <row r="834" spans="1:7" ht="14.25">
      <c r="A834" s="3" t="str">
        <f>T("50782795")</f>
        <v>50782795</v>
      </c>
      <c r="B834" s="14" t="s">
        <v>4720</v>
      </c>
      <c r="C834" s="3" t="s">
        <v>838</v>
      </c>
      <c r="D834" s="3" t="str">
        <f>T("金性堯")</f>
        <v>金性堯</v>
      </c>
      <c r="E834" s="3" t="str">
        <f>T("國際廣播")</f>
        <v>國際廣播</v>
      </c>
      <c r="F834" s="3">
        <v>28</v>
      </c>
      <c r="G834" s="3">
        <v>168</v>
      </c>
    </row>
    <row r="835" spans="1:7" ht="14.25">
      <c r="A835" s="3" t="str">
        <f>T("50782856")</f>
        <v>50782856</v>
      </c>
      <c r="B835" s="14" t="s">
        <v>4722</v>
      </c>
      <c r="C835" s="3" t="s">
        <v>839</v>
      </c>
      <c r="D835" s="3" t="str">
        <f>T("趙秉崑、李桂芝編著")</f>
        <v>趙秉崑、李桂芝編著</v>
      </c>
      <c r="E835" s="3" t="str">
        <f>T("國際廣播")</f>
        <v>國際廣播</v>
      </c>
      <c r="F835" s="3">
        <v>35</v>
      </c>
      <c r="G835" s="3">
        <v>210</v>
      </c>
    </row>
    <row r="836" spans="1:7" ht="14.25">
      <c r="A836" s="3" t="str">
        <f>T("50782861")</f>
        <v>50782861</v>
      </c>
      <c r="B836" s="14" t="s">
        <v>4725</v>
      </c>
      <c r="C836" s="3" t="s">
        <v>840</v>
      </c>
      <c r="D836" s="3" t="str">
        <f>T("楊伯峻")</f>
        <v>楊伯峻</v>
      </c>
      <c r="E836" s="3" t="str">
        <f>T("國際廣播")</f>
        <v>國際廣播</v>
      </c>
      <c r="F836" s="3">
        <v>22</v>
      </c>
      <c r="G836" s="3">
        <v>132</v>
      </c>
    </row>
    <row r="837" spans="1:7" ht="14.25">
      <c r="A837" s="3" t="str">
        <f>T("50782862")</f>
        <v>50782862</v>
      </c>
      <c r="B837" s="14" t="s">
        <v>4728</v>
      </c>
      <c r="C837" s="3" t="s">
        <v>841</v>
      </c>
      <c r="D837" s="3" t="str">
        <f>T("水渭松")</f>
        <v>水渭松</v>
      </c>
      <c r="E837" s="3" t="str">
        <f>T("國際廣播")</f>
        <v>國際廣播</v>
      </c>
      <c r="F837" s="3">
        <v>36</v>
      </c>
      <c r="G837" s="3">
        <v>216</v>
      </c>
    </row>
    <row r="838" spans="1:7" ht="14.25">
      <c r="A838" s="3" t="str">
        <f>T("50782909")</f>
        <v>50782909</v>
      </c>
      <c r="B838" s="14" t="s">
        <v>4731</v>
      </c>
      <c r="C838" s="3" t="s">
        <v>842</v>
      </c>
      <c r="D838" s="3" t="str">
        <f>T("趙儷生著")</f>
        <v>趙儷生著</v>
      </c>
      <c r="E838" s="3" t="str">
        <f>T("國際廣播")</f>
        <v>國際廣播</v>
      </c>
      <c r="F838" s="3">
        <v>30</v>
      </c>
      <c r="G838" s="3">
        <v>180</v>
      </c>
    </row>
    <row r="839" spans="1:7" ht="14.25">
      <c r="A839" s="3" t="str">
        <f>T("50782911")</f>
        <v>50782911</v>
      </c>
      <c r="B839" s="14" t="s">
        <v>4734</v>
      </c>
      <c r="C839" s="3" t="s">
        <v>843</v>
      </c>
      <c r="D839" s="3" t="str">
        <f>T("王瑞明、張全明著")</f>
        <v>王瑞明、張全明著</v>
      </c>
      <c r="E839" s="3" t="str">
        <f>T("國際廣播")</f>
        <v>國際廣播</v>
      </c>
      <c r="F839" s="3">
        <v>35</v>
      </c>
      <c r="G839" s="3">
        <v>210</v>
      </c>
    </row>
    <row r="840" spans="1:7" ht="14.25">
      <c r="A840" s="3" t="str">
        <f>T("50783003")</f>
        <v>50783003</v>
      </c>
      <c r="B840" s="14" t="s">
        <v>4737</v>
      </c>
      <c r="C840" s="3" t="s">
        <v>844</v>
      </c>
      <c r="D840" s="3" t="str">
        <f>T("錢伯城編著")</f>
        <v>錢伯城編著</v>
      </c>
      <c r="E840" s="3" t="str">
        <f>T("國際廣播")</f>
        <v>國際廣播</v>
      </c>
      <c r="F840" s="3">
        <v>30</v>
      </c>
      <c r="G840" s="3">
        <v>180</v>
      </c>
    </row>
    <row r="841" spans="1:7" ht="14.25">
      <c r="A841" s="3" t="str">
        <f>T("50783005")</f>
        <v>50783005</v>
      </c>
      <c r="B841" s="14" t="s">
        <v>4740</v>
      </c>
      <c r="C841" s="3" t="s">
        <v>845</v>
      </c>
      <c r="D841" s="3" t="str">
        <f>T("施紹文、沈樹華編著")</f>
        <v>施紹文、沈樹華編著</v>
      </c>
      <c r="E841" s="3" t="str">
        <f>T("國際廣播")</f>
        <v>國際廣播</v>
      </c>
      <c r="F841" s="3">
        <v>32</v>
      </c>
      <c r="G841" s="3">
        <v>192</v>
      </c>
    </row>
    <row r="842" spans="1:7" ht="14.25">
      <c r="A842" s="3" t="str">
        <f>T("50783008")</f>
        <v>50783008</v>
      </c>
      <c r="B842" s="14" t="s">
        <v>4743</v>
      </c>
      <c r="C842" s="3" t="s">
        <v>846</v>
      </c>
      <c r="D842" s="3" t="str">
        <f>T("潘吉星編著")</f>
        <v>潘吉星編著</v>
      </c>
      <c r="E842" s="3" t="str">
        <f>T("國際廣播")</f>
        <v>國際廣播</v>
      </c>
      <c r="F842" s="3">
        <v>24</v>
      </c>
      <c r="G842" s="3">
        <v>144</v>
      </c>
    </row>
    <row r="843" spans="1:7" ht="14.25">
      <c r="A843" s="3" t="str">
        <f>T("50783012")</f>
        <v>50783012</v>
      </c>
      <c r="B843" s="14" t="s">
        <v>4746</v>
      </c>
      <c r="C843" s="3" t="s">
        <v>847</v>
      </c>
      <c r="D843" s="3" t="str">
        <f>T("張覺編著")</f>
        <v>張覺編著</v>
      </c>
      <c r="E843" s="3" t="str">
        <f>T("國際廣播")</f>
        <v>國際廣播</v>
      </c>
      <c r="F843" s="3">
        <v>32</v>
      </c>
      <c r="G843" s="3">
        <v>192</v>
      </c>
    </row>
    <row r="844" spans="1:7" ht="14.25">
      <c r="A844" s="3" t="str">
        <f>T("50783013")</f>
        <v>50783013</v>
      </c>
      <c r="B844" s="14" t="s">
        <v>4749</v>
      </c>
      <c r="C844" s="3" t="s">
        <v>848</v>
      </c>
      <c r="D844" s="3" t="str">
        <f>T("張覺編著")</f>
        <v>張覺編著</v>
      </c>
      <c r="E844" s="3" t="str">
        <f>T("國際廣播")</f>
        <v>國際廣播</v>
      </c>
      <c r="F844" s="3">
        <v>32</v>
      </c>
      <c r="G844" s="3">
        <v>192</v>
      </c>
    </row>
    <row r="845" spans="1:7" ht="14.25">
      <c r="A845" s="3" t="str">
        <f>T("50783019")</f>
        <v>50783019</v>
      </c>
      <c r="B845" s="14" t="s">
        <v>4751</v>
      </c>
      <c r="C845" s="3" t="s">
        <v>849</v>
      </c>
      <c r="D845" s="3" t="str">
        <f>T("編委")</f>
        <v>編委</v>
      </c>
      <c r="E845" s="3" t="str">
        <f>T("國際廣播")</f>
        <v>國際廣播</v>
      </c>
      <c r="F845" s="3">
        <v>30</v>
      </c>
      <c r="G845" s="3">
        <v>180</v>
      </c>
    </row>
    <row r="846" spans="1:7" ht="14.25">
      <c r="A846" s="3" t="str">
        <f>T("50783143")</f>
        <v>50783143</v>
      </c>
      <c r="B846" s="14" t="s">
        <v>4753</v>
      </c>
      <c r="C846" s="3" t="s">
        <v>850</v>
      </c>
      <c r="D846" s="3" t="str">
        <f>T("趙翰生")</f>
        <v>趙翰生</v>
      </c>
      <c r="E846" s="3" t="str">
        <f>T("國際廣播")</f>
        <v>國際廣播</v>
      </c>
      <c r="F846" s="3">
        <v>21</v>
      </c>
      <c r="G846" s="3">
        <v>126</v>
      </c>
    </row>
    <row r="847" spans="1:7" ht="14.25">
      <c r="A847" s="3" t="str">
        <f>T("50783156")</f>
        <v>50783156</v>
      </c>
      <c r="B847" s="14" t="s">
        <v>4756</v>
      </c>
      <c r="C847" s="3" t="s">
        <v>851</v>
      </c>
      <c r="D847" s="3" t="str">
        <f>T("胡曉明")</f>
        <v>胡曉明</v>
      </c>
      <c r="E847" s="3" t="str">
        <f>T("國際廣播")</f>
        <v>國際廣播</v>
      </c>
      <c r="F847" s="3">
        <v>14.5</v>
      </c>
      <c r="G847" s="3">
        <v>87</v>
      </c>
    </row>
    <row r="848" spans="1:7" ht="14.25">
      <c r="A848" s="3" t="str">
        <f>T("50783175")</f>
        <v>50783175</v>
      </c>
      <c r="B848" s="14" t="s">
        <v>4759</v>
      </c>
      <c r="C848" s="3" t="s">
        <v>852</v>
      </c>
      <c r="D848" s="3" t="str">
        <f>T("編委")</f>
        <v>編委</v>
      </c>
      <c r="E848" s="3" t="str">
        <f>T("國際廣播")</f>
        <v>國際廣播</v>
      </c>
      <c r="F848" s="3">
        <v>38</v>
      </c>
      <c r="G848" s="3">
        <v>228</v>
      </c>
    </row>
    <row r="849" spans="1:7" ht="14.25">
      <c r="A849" s="3" t="str">
        <f>T("50783188")</f>
        <v>50783188</v>
      </c>
      <c r="B849" s="14" t="s">
        <v>4761</v>
      </c>
      <c r="C849" s="3" t="s">
        <v>853</v>
      </c>
      <c r="D849" s="3" t="str">
        <f>T("顏長河")</f>
        <v>顏長河</v>
      </c>
      <c r="E849" s="3" t="str">
        <f>T("國際廣播")</f>
        <v>國際廣播</v>
      </c>
      <c r="F849" s="3">
        <v>18</v>
      </c>
      <c r="G849" s="3">
        <v>108</v>
      </c>
    </row>
    <row r="850" spans="1:7" ht="14.25">
      <c r="A850" s="3" t="str">
        <f>T("50783192")</f>
        <v>50783192</v>
      </c>
      <c r="B850" s="14" t="s">
        <v>4764</v>
      </c>
      <c r="C850" s="3" t="s">
        <v>854</v>
      </c>
      <c r="D850" s="3" t="str">
        <f>T("王良範")</f>
        <v>王良範</v>
      </c>
      <c r="E850" s="3" t="str">
        <f>T("國際廣播")</f>
        <v>國際廣播</v>
      </c>
      <c r="F850" s="3">
        <v>22</v>
      </c>
      <c r="G850" s="3">
        <v>132</v>
      </c>
    </row>
    <row r="851" spans="1:7" ht="14.25">
      <c r="A851" s="3" t="str">
        <f>T("50783203")</f>
        <v>50783203</v>
      </c>
      <c r="B851" s="14" t="s">
        <v>4767</v>
      </c>
      <c r="C851" s="3" t="s">
        <v>855</v>
      </c>
      <c r="D851" s="3" t="str">
        <f>T("孫建民")</f>
        <v>孫建民</v>
      </c>
      <c r="E851" s="3" t="str">
        <f>T("國際廣播")</f>
        <v>國際廣播</v>
      </c>
      <c r="F851" s="3">
        <v>28</v>
      </c>
      <c r="G851" s="3">
        <v>168</v>
      </c>
    </row>
    <row r="852" spans="1:7" ht="14.25">
      <c r="A852" s="3" t="str">
        <f>T("50783206")</f>
        <v>50783206</v>
      </c>
      <c r="B852" s="14" t="s">
        <v>4770</v>
      </c>
      <c r="C852" s="3" t="s">
        <v>856</v>
      </c>
      <c r="D852" s="3" t="str">
        <f>T("王宏凱")</f>
        <v>王宏凱</v>
      </c>
      <c r="E852" s="3" t="str">
        <f>T("國際廣播")</f>
        <v>國際廣播</v>
      </c>
      <c r="F852" s="3">
        <v>25</v>
      </c>
      <c r="G852" s="3">
        <v>150</v>
      </c>
    </row>
    <row r="853" spans="1:7" ht="14.25">
      <c r="A853" s="3" t="str">
        <f>T("50783226")</f>
        <v>50783226</v>
      </c>
      <c r="B853" s="14" t="s">
        <v>4773</v>
      </c>
      <c r="C853" s="3" t="s">
        <v>857</v>
      </c>
      <c r="D853" s="3" t="str">
        <f>T("編委會")</f>
        <v>編委會</v>
      </c>
      <c r="E853" s="3" t="str">
        <f>T("國際廣播")</f>
        <v>國際廣播</v>
      </c>
      <c r="F853" s="3">
        <v>26</v>
      </c>
      <c r="G853" s="3">
        <v>156</v>
      </c>
    </row>
    <row r="854" spans="1:7" ht="14.25">
      <c r="A854" s="3" t="str">
        <f>T("50783229")</f>
        <v>50783229</v>
      </c>
      <c r="B854" s="14" t="s">
        <v>4775</v>
      </c>
      <c r="C854" s="3" t="s">
        <v>858</v>
      </c>
      <c r="D854" s="3" t="str">
        <f>T("潘偉斌. 著")</f>
        <v>潘偉斌. 著</v>
      </c>
      <c r="E854" s="3" t="str">
        <f>T("國際廣播")</f>
        <v>國際廣播</v>
      </c>
      <c r="F854" s="3">
        <v>21</v>
      </c>
      <c r="G854" s="3">
        <v>126</v>
      </c>
    </row>
    <row r="855" spans="1:7" ht="14.25">
      <c r="A855" s="3" t="str">
        <f>T("50783277")</f>
        <v>50783277</v>
      </c>
      <c r="B855" s="14" t="s">
        <v>4778</v>
      </c>
      <c r="C855" s="3" t="s">
        <v>859</v>
      </c>
      <c r="D855" s="3" t="str">
        <f>T("周傳家")</f>
        <v>周傳家</v>
      </c>
      <c r="E855" s="3" t="str">
        <f>T("國際廣播")</f>
        <v>國際廣播</v>
      </c>
      <c r="F855" s="3">
        <v>16</v>
      </c>
      <c r="G855" s="3">
        <v>96</v>
      </c>
    </row>
    <row r="856" spans="1:7" ht="14.25">
      <c r="A856" s="3" t="str">
        <f>T("50783284")</f>
        <v>50783284</v>
      </c>
      <c r="B856" s="14" t="s">
        <v>4781</v>
      </c>
      <c r="C856" s="3" t="s">
        <v>860</v>
      </c>
      <c r="D856" s="3" t="str">
        <f>T("編委會")</f>
        <v>編委會</v>
      </c>
      <c r="E856" s="3" t="str">
        <f>T("國際廣播")</f>
        <v>國際廣播</v>
      </c>
      <c r="F856" s="3">
        <v>42</v>
      </c>
      <c r="G856" s="3">
        <v>252</v>
      </c>
    </row>
    <row r="857" spans="1:7" ht="14.25">
      <c r="A857" s="3" t="str">
        <f>T("50783305")</f>
        <v>50783305</v>
      </c>
      <c r="B857" s="14" t="s">
        <v>4783</v>
      </c>
      <c r="C857" s="3" t="s">
        <v>861</v>
      </c>
      <c r="D857" s="3" t="str">
        <f>T("何滿子")</f>
        <v>何滿子</v>
      </c>
      <c r="E857" s="3" t="str">
        <f>T("國際廣播")</f>
        <v>國際廣播</v>
      </c>
      <c r="F857" s="3">
        <v>36</v>
      </c>
      <c r="G857" s="3">
        <v>216</v>
      </c>
    </row>
    <row r="858" spans="1:7" ht="14.25">
      <c r="A858" s="3" t="str">
        <f>T("50783338")</f>
        <v>50783338</v>
      </c>
      <c r="B858" s="14" t="s">
        <v>4786</v>
      </c>
      <c r="C858" s="3" t="s">
        <v>862</v>
      </c>
      <c r="D858" s="3" t="str">
        <f>T("編委會")</f>
        <v>編委會</v>
      </c>
      <c r="E858" s="3" t="str">
        <f>T("國際廣播")</f>
        <v>國際廣播</v>
      </c>
      <c r="F858" s="3">
        <v>42</v>
      </c>
      <c r="G858" s="3">
        <v>252</v>
      </c>
    </row>
    <row r="859" spans="1:7" ht="14.25">
      <c r="A859" s="3" t="str">
        <f>T("50783346")</f>
        <v>50783346</v>
      </c>
      <c r="B859" s="14" t="s">
        <v>4788</v>
      </c>
      <c r="C859" s="3" t="s">
        <v>863</v>
      </c>
      <c r="D859" s="3" t="str">
        <f>T("任海")</f>
        <v>任海</v>
      </c>
      <c r="E859" s="3" t="str">
        <f>T("國際廣播")</f>
        <v>國際廣播</v>
      </c>
      <c r="F859" s="3">
        <v>16.8</v>
      </c>
      <c r="G859" s="3">
        <v>101</v>
      </c>
    </row>
    <row r="860" spans="1:7" ht="14.25">
      <c r="A860" s="3" t="str">
        <f>T("50805690")</f>
        <v>50805690</v>
      </c>
      <c r="B860" s="14" t="s">
        <v>4791</v>
      </c>
      <c r="C860" s="3" t="s">
        <v>864</v>
      </c>
      <c r="D860" s="3" t="str">
        <f>T("劉恩銘. 著")</f>
        <v>劉恩銘. 著</v>
      </c>
      <c r="E860" s="3" t="str">
        <f>T("華夏")</f>
        <v>華夏</v>
      </c>
      <c r="F860" s="3">
        <v>32</v>
      </c>
      <c r="G860" s="3">
        <v>192</v>
      </c>
    </row>
    <row r="861" spans="1:7" ht="14.25">
      <c r="A861" s="3" t="str">
        <f>T("50805865")</f>
        <v>50805865</v>
      </c>
      <c r="B861" s="14" t="s">
        <v>4795</v>
      </c>
      <c r="C861" s="3" t="s">
        <v>865</v>
      </c>
      <c r="D861" s="3" t="str">
        <f>T("編委會")</f>
        <v>編委會</v>
      </c>
      <c r="E861" s="3" t="str">
        <f>T("華夏")</f>
        <v>華夏</v>
      </c>
      <c r="F861" s="3">
        <v>49.8</v>
      </c>
      <c r="G861" s="3">
        <v>299</v>
      </c>
    </row>
    <row r="862" spans="1:7" ht="14.25">
      <c r="A862" s="3" t="str">
        <f>T("50805953")</f>
        <v>50805953</v>
      </c>
      <c r="B862" s="14" t="s">
        <v>4797</v>
      </c>
      <c r="C862" s="3" t="s">
        <v>866</v>
      </c>
      <c r="D862" s="3" t="str">
        <f>T("東雄")</f>
        <v>東雄</v>
      </c>
      <c r="E862" s="3" t="str">
        <f>T("華夏")</f>
        <v>華夏</v>
      </c>
      <c r="F862" s="3">
        <v>29.8</v>
      </c>
      <c r="G862" s="3">
        <v>179</v>
      </c>
    </row>
    <row r="863" spans="1:7" ht="14.25">
      <c r="A863" s="3" t="str">
        <f>T("50805959")</f>
        <v>50805959</v>
      </c>
      <c r="B863" s="14" t="s">
        <v>4800</v>
      </c>
      <c r="C863" s="3" t="s">
        <v>867</v>
      </c>
      <c r="D863" s="3" t="str">
        <f>T("東雄")</f>
        <v>東雄</v>
      </c>
      <c r="E863" s="3" t="str">
        <f>T("華夏")</f>
        <v>華夏</v>
      </c>
      <c r="F863" s="3">
        <v>29.8</v>
      </c>
      <c r="G863" s="3">
        <v>179</v>
      </c>
    </row>
    <row r="864" spans="1:7" ht="14.25">
      <c r="A864" s="3" t="str">
        <f>T("50806090")</f>
        <v>50806090</v>
      </c>
      <c r="B864" s="14" t="s">
        <v>4802</v>
      </c>
      <c r="C864" s="3" t="s">
        <v>868</v>
      </c>
      <c r="D864" s="3" t="str">
        <f>T("東雄")</f>
        <v>東雄</v>
      </c>
      <c r="E864" s="3" t="str">
        <f>T("華夏")</f>
        <v>華夏</v>
      </c>
      <c r="F864" s="3">
        <v>29.8</v>
      </c>
      <c r="G864" s="3">
        <v>179</v>
      </c>
    </row>
    <row r="865" spans="1:7" ht="14.25">
      <c r="A865" s="3" t="str">
        <f>T("50836403")</f>
        <v>50836403</v>
      </c>
      <c r="B865" s="14" t="s">
        <v>4804</v>
      </c>
      <c r="C865" s="3" t="s">
        <v>869</v>
      </c>
      <c r="D865" s="3" t="str">
        <f>T("祝帥")</f>
        <v>祝帥</v>
      </c>
      <c r="E865" s="3" t="str">
        <f>T("中國電力")</f>
        <v>中國電力</v>
      </c>
      <c r="F865" s="3">
        <v>32</v>
      </c>
      <c r="G865" s="3">
        <v>192</v>
      </c>
    </row>
    <row r="866" spans="1:7" ht="14.25">
      <c r="A866" s="3" t="str">
        <f>T("50845671")</f>
        <v>50845671</v>
      </c>
      <c r="B866" s="14" t="s">
        <v>4808</v>
      </c>
      <c r="C866" s="3" t="s">
        <v>870</v>
      </c>
      <c r="D866" s="3" t="str">
        <f>T("朱淨宇著")</f>
        <v>朱淨宇著</v>
      </c>
      <c r="E866" s="3" t="str">
        <f>T("水利水電")</f>
        <v>水利水電</v>
      </c>
      <c r="F866" s="3">
        <v>58</v>
      </c>
      <c r="G866" s="3">
        <v>348</v>
      </c>
    </row>
    <row r="867" spans="1:7" ht="14.25">
      <c r="A867" s="3" t="str">
        <f>T("50847836")</f>
        <v>50847836</v>
      </c>
      <c r="B867" s="14" t="s">
        <v>4812</v>
      </c>
      <c r="C867" s="3" t="s">
        <v>871</v>
      </c>
      <c r="D867" s="3" t="str">
        <f>T("宮曙光")</f>
        <v>宮曙光</v>
      </c>
      <c r="E867" s="3" t="str">
        <f>T("水利水電")</f>
        <v>水利水電</v>
      </c>
      <c r="F867" s="3">
        <v>28</v>
      </c>
      <c r="G867" s="3">
        <v>168</v>
      </c>
    </row>
    <row r="868" spans="1:7" ht="14.25">
      <c r="A868" s="3" t="str">
        <f>T("50847839")</f>
        <v>50847839</v>
      </c>
      <c r="B868" s="14" t="s">
        <v>4815</v>
      </c>
      <c r="C868" s="3" t="s">
        <v>872</v>
      </c>
      <c r="D868" s="3" t="str">
        <f>T("宮曙光")</f>
        <v>宮曙光</v>
      </c>
      <c r="E868" s="3" t="str">
        <f>T("水利水電")</f>
        <v>水利水電</v>
      </c>
      <c r="F868" s="3">
        <v>28</v>
      </c>
      <c r="G868" s="3">
        <v>168</v>
      </c>
    </row>
    <row r="869" spans="1:7" ht="14.25">
      <c r="A869" s="3" t="str">
        <f>T("50847858")</f>
        <v>50847858</v>
      </c>
      <c r="B869" s="14" t="s">
        <v>4817</v>
      </c>
      <c r="C869" s="3" t="s">
        <v>873</v>
      </c>
      <c r="D869" s="3" t="str">
        <f>T("宮曙光")</f>
        <v>宮曙光</v>
      </c>
      <c r="E869" s="3" t="str">
        <f>T("水利水電")</f>
        <v>水利水電</v>
      </c>
      <c r="F869" s="3">
        <v>28</v>
      </c>
      <c r="G869" s="3">
        <v>168</v>
      </c>
    </row>
    <row r="870" spans="1:7" ht="14.25">
      <c r="A870" s="3" t="str">
        <f>T("50850542")</f>
        <v>50850542</v>
      </c>
      <c r="B870" s="14" t="s">
        <v>4819</v>
      </c>
      <c r="C870" s="3" t="s">
        <v>874</v>
      </c>
      <c r="D870" s="3" t="str">
        <f>T("靳之林")</f>
        <v>靳之林</v>
      </c>
      <c r="E870" s="3" t="str">
        <f>T("五洲傳播")</f>
        <v>五洲傳播</v>
      </c>
      <c r="F870" s="3">
        <v>36</v>
      </c>
      <c r="G870" s="3">
        <v>216</v>
      </c>
    </row>
    <row r="871" spans="1:7" ht="14.25">
      <c r="A871" s="3" t="str">
        <f>T("50850807")</f>
        <v>50850807</v>
      </c>
      <c r="B871" s="14" t="s">
        <v>4823</v>
      </c>
      <c r="C871" s="3" t="s">
        <v>875</v>
      </c>
      <c r="D871" s="3" t="str">
        <f>T("韋黎明 編著")</f>
        <v>韋黎明 編著</v>
      </c>
      <c r="E871" s="3" t="str">
        <f>T("五洲傳播")</f>
        <v>五洲傳播</v>
      </c>
      <c r="F871" s="3">
        <v>38</v>
      </c>
      <c r="G871" s="3">
        <v>228</v>
      </c>
    </row>
    <row r="872" spans="1:7" ht="14.25">
      <c r="A872" s="3" t="str">
        <f>T("50850962")</f>
        <v>50850962</v>
      </c>
      <c r="B872" s="14" t="s">
        <v>4826</v>
      </c>
      <c r="C872" s="3" t="s">
        <v>876</v>
      </c>
      <c r="D872" s="3" t="str">
        <f>T("杭間")</f>
        <v>杭間</v>
      </c>
      <c r="E872" s="3" t="str">
        <f>T("五洲傳播")</f>
        <v>五洲傳播</v>
      </c>
      <c r="F872" s="3">
        <v>34</v>
      </c>
      <c r="G872" s="3">
        <v>204</v>
      </c>
    </row>
    <row r="873" spans="1:7" ht="14.25">
      <c r="A873" s="3" t="str">
        <f>T("50860940")</f>
        <v>50860940</v>
      </c>
      <c r="B873" s="14" t="s">
        <v>4829</v>
      </c>
      <c r="C873" s="3" t="s">
        <v>877</v>
      </c>
      <c r="D873" s="3" t="str">
        <f>T("王充閭")</f>
        <v>王充閭</v>
      </c>
      <c r="E873" s="3" t="str">
        <f>T("中信")</f>
        <v>中信</v>
      </c>
      <c r="F873" s="3">
        <v>32</v>
      </c>
      <c r="G873" s="3">
        <v>192</v>
      </c>
    </row>
    <row r="874" spans="1:7" ht="14.25">
      <c r="A874" s="3" t="str">
        <f>T("50860999")</f>
        <v>50860999</v>
      </c>
      <c r="B874" s="14" t="s">
        <v>4833</v>
      </c>
      <c r="C874" s="3" t="s">
        <v>878</v>
      </c>
      <c r="D874" s="3" t="str">
        <f>T("謝軍")</f>
        <v>謝軍</v>
      </c>
      <c r="E874" s="3" t="str">
        <f>T("中信")</f>
        <v>中信</v>
      </c>
      <c r="F874" s="3">
        <v>20</v>
      </c>
      <c r="G874" s="3">
        <v>120</v>
      </c>
    </row>
    <row r="875" spans="1:7" ht="14.25">
      <c r="A875" s="3" t="str">
        <f>T("50862273")</f>
        <v>50862273</v>
      </c>
      <c r="B875" s="14" t="s">
        <v>4836</v>
      </c>
      <c r="C875" s="3" t="s">
        <v>879</v>
      </c>
      <c r="D875" s="3" t="str">
        <f>T("(韓) 南仁淑. 著")</f>
        <v>(韓) 南仁淑. 著</v>
      </c>
      <c r="E875" s="3" t="str">
        <f>T("中信")</f>
        <v>中信</v>
      </c>
      <c r="F875" s="3">
        <v>25</v>
      </c>
      <c r="G875" s="3">
        <v>150</v>
      </c>
    </row>
    <row r="876" spans="1:7" ht="14.25">
      <c r="A876" s="3" t="str">
        <f>T("50871042")</f>
        <v>50871042</v>
      </c>
      <c r="B876" s="14" t="s">
        <v>4839</v>
      </c>
      <c r="C876" s="3" t="s">
        <v>880</v>
      </c>
      <c r="D876" s="3" t="str">
        <f>T("白霞")</f>
        <v>白霞</v>
      </c>
      <c r="E876" s="3" t="str">
        <f>T("中國社會")</f>
        <v>中國社會</v>
      </c>
      <c r="F876" s="3">
        <v>13</v>
      </c>
      <c r="G876" s="3">
        <v>78</v>
      </c>
    </row>
    <row r="877" spans="1:7" ht="14.25">
      <c r="A877" s="3" t="str">
        <f>T("50871468")</f>
        <v>50871468</v>
      </c>
      <c r="B877" s="14" t="s">
        <v>4843</v>
      </c>
      <c r="C877" s="3" t="s">
        <v>881</v>
      </c>
      <c r="D877" s="3" t="str">
        <f>T("王海霞")</f>
        <v>王海霞</v>
      </c>
      <c r="E877" s="3" t="str">
        <f>T("中國社會")</f>
        <v>中國社會</v>
      </c>
      <c r="F877" s="3">
        <v>12</v>
      </c>
      <c r="G877" s="3">
        <v>72</v>
      </c>
    </row>
    <row r="878" spans="1:7" ht="14.25">
      <c r="A878" s="3" t="str">
        <f>T("50872386")</f>
        <v>50872386</v>
      </c>
      <c r="B878" s="14" t="s">
        <v>4846</v>
      </c>
      <c r="C878" s="3" t="s">
        <v>882</v>
      </c>
      <c r="D878" s="3" t="str">
        <f>T("張志江")</f>
        <v>張志江</v>
      </c>
      <c r="E878" s="3" t="str">
        <f>T("中國社會")</f>
        <v>中國社會</v>
      </c>
      <c r="F878" s="3">
        <v>26</v>
      </c>
      <c r="G878" s="3">
        <v>156</v>
      </c>
    </row>
    <row r="879" spans="1:7" ht="14.25">
      <c r="A879" s="3" t="str">
        <f>T("50872454")</f>
        <v>50872454</v>
      </c>
      <c r="B879" s="14" t="s">
        <v>4849</v>
      </c>
      <c r="C879" s="3" t="s">
        <v>883</v>
      </c>
      <c r="D879" s="3" t="str">
        <f>T("李躍忠")</f>
        <v>李躍忠</v>
      </c>
      <c r="E879" s="3" t="str">
        <f>T("中國社會")</f>
        <v>中國社會</v>
      </c>
      <c r="F879" s="3">
        <v>23</v>
      </c>
      <c r="G879" s="3">
        <v>138</v>
      </c>
    </row>
    <row r="880" spans="1:7" ht="14.25">
      <c r="A880" s="3" t="str">
        <f>T("50872455")</f>
        <v>50872455</v>
      </c>
      <c r="B880" s="14" t="s">
        <v>4852</v>
      </c>
      <c r="C880" s="3" t="s">
        <v>884</v>
      </c>
      <c r="D880" s="3" t="str">
        <f>T("張振華")</f>
        <v>張振華</v>
      </c>
      <c r="E880" s="3" t="str">
        <f>T("中國社會")</f>
        <v>中國社會</v>
      </c>
      <c r="F880" s="3">
        <v>23</v>
      </c>
      <c r="G880" s="3">
        <v>138</v>
      </c>
    </row>
    <row r="881" spans="1:7" ht="14.25">
      <c r="A881" s="3" t="str">
        <f>T("50872469")</f>
        <v>50872469</v>
      </c>
      <c r="B881" s="14" t="s">
        <v>4855</v>
      </c>
      <c r="C881" s="3" t="s">
        <v>885</v>
      </c>
      <c r="D881" s="3" t="str">
        <f>T("許小主")</f>
        <v>許小主</v>
      </c>
      <c r="E881" s="3" t="str">
        <f>T("中國社會")</f>
        <v>中國社會</v>
      </c>
      <c r="F881" s="3">
        <v>28</v>
      </c>
      <c r="G881" s="3">
        <v>168</v>
      </c>
    </row>
    <row r="882" spans="1:7" ht="14.25">
      <c r="A882" s="3" t="str">
        <f>T("50872477")</f>
        <v>50872477</v>
      </c>
      <c r="B882" s="14" t="s">
        <v>4858</v>
      </c>
      <c r="C882" s="3" t="s">
        <v>886</v>
      </c>
      <c r="D882" s="3" t="str">
        <f>T("編委")</f>
        <v>編委</v>
      </c>
      <c r="E882" s="3" t="str">
        <f>T("中國社會")</f>
        <v>中國社會</v>
      </c>
      <c r="F882" s="3">
        <v>32</v>
      </c>
      <c r="G882" s="3">
        <v>192</v>
      </c>
    </row>
    <row r="883" spans="1:7" ht="14.25">
      <c r="A883" s="3" t="str">
        <f>T("50872682")</f>
        <v>50872682</v>
      </c>
      <c r="B883" s="14" t="s">
        <v>4860</v>
      </c>
      <c r="C883" s="3" t="s">
        <v>887</v>
      </c>
      <c r="D883" s="3" t="str">
        <f>T("陳孝敬")</f>
        <v>陳孝敬</v>
      </c>
      <c r="E883" s="3" t="str">
        <f>T("中國社會")</f>
        <v>中國社會</v>
      </c>
      <c r="F883" s="3">
        <v>26</v>
      </c>
      <c r="G883" s="3">
        <v>156</v>
      </c>
    </row>
    <row r="884" spans="1:7" ht="14.25">
      <c r="A884" s="3" t="str">
        <f>T("50900019")</f>
        <v>50900019</v>
      </c>
      <c r="B884" s="14" t="s">
        <v>4863</v>
      </c>
      <c r="C884" s="3" t="s">
        <v>888</v>
      </c>
      <c r="D884" s="3" t="str">
        <f>T("宋連生")</f>
        <v>宋連生</v>
      </c>
      <c r="E884" s="3" t="str">
        <f>T("當代世界")</f>
        <v>當代世界</v>
      </c>
      <c r="F884" s="3">
        <v>58</v>
      </c>
      <c r="G884" s="3">
        <v>348</v>
      </c>
    </row>
    <row r="885" spans="1:7" ht="14.25">
      <c r="A885" s="3" t="str">
        <f>T("50900021")</f>
        <v>50900021</v>
      </c>
      <c r="B885" s="14" t="s">
        <v>4867</v>
      </c>
      <c r="C885" s="3" t="s">
        <v>889</v>
      </c>
      <c r="D885" s="3" t="str">
        <f>T("宋連生")</f>
        <v>宋連生</v>
      </c>
      <c r="E885" s="3" t="str">
        <f>T("當代世界")</f>
        <v>當代世界</v>
      </c>
      <c r="F885" s="3">
        <v>58</v>
      </c>
      <c r="G885" s="3">
        <v>348</v>
      </c>
    </row>
    <row r="886" spans="1:7" ht="14.25">
      <c r="A886" s="3" t="str">
        <f>T("50910404")</f>
        <v>50910404</v>
      </c>
      <c r="B886" s="14" t="s">
        <v>4869</v>
      </c>
      <c r="C886" s="3" t="s">
        <v>890</v>
      </c>
      <c r="D886" s="3" t="str">
        <f>T("沈衛")</f>
        <v>沈衛</v>
      </c>
      <c r="E886" s="3" t="str">
        <f>T("人民軍醫")</f>
        <v>人民軍醫</v>
      </c>
      <c r="F886" s="3">
        <v>30</v>
      </c>
      <c r="G886" s="3">
        <v>180</v>
      </c>
    </row>
    <row r="887" spans="1:7" ht="14.25">
      <c r="A887" s="3" t="str">
        <f>T("50912651")</f>
        <v>50912651</v>
      </c>
      <c r="B887" s="14" t="s">
        <v>4873</v>
      </c>
      <c r="C887" s="3" t="s">
        <v>891</v>
      </c>
      <c r="D887" s="3" t="str">
        <f>T("李心天")</f>
        <v>李心天</v>
      </c>
      <c r="E887" s="3" t="str">
        <f>T("人民軍醫")</f>
        <v>人民軍醫</v>
      </c>
      <c r="F887" s="3">
        <v>298</v>
      </c>
      <c r="G887" s="3">
        <v>1788</v>
      </c>
    </row>
    <row r="888" spans="1:7" ht="14.25">
      <c r="A888" s="3" t="str">
        <f>T("50920442")</f>
        <v>50920442</v>
      </c>
      <c r="B888" s="14" t="s">
        <v>4876</v>
      </c>
      <c r="C888" s="3" t="s">
        <v>892</v>
      </c>
      <c r="D888" s="3" t="str">
        <f>T("(英)安德森")</f>
        <v>(英)安德森</v>
      </c>
      <c r="E888" s="3" t="str">
        <f>T("中國市場")</f>
        <v>中國市場</v>
      </c>
      <c r="F888" s="3">
        <v>48</v>
      </c>
      <c r="G888" s="3">
        <v>288</v>
      </c>
    </row>
    <row r="889" spans="1:7" ht="14.25">
      <c r="A889" s="3" t="str">
        <f>T("50970897")</f>
        <v>50970897</v>
      </c>
      <c r="B889" s="14" t="s">
        <v>4880</v>
      </c>
      <c r="C889" s="3" t="s">
        <v>893</v>
      </c>
      <c r="D889" s="3" t="str">
        <f>T("須藤瑞代")</f>
        <v>須藤瑞代</v>
      </c>
      <c r="E889" s="3" t="str">
        <f>T("社科文獻")</f>
        <v>社科文獻</v>
      </c>
      <c r="F889" s="3">
        <v>39</v>
      </c>
      <c r="G889" s="3">
        <v>234</v>
      </c>
    </row>
    <row r="890" spans="1:7" ht="14.25">
      <c r="A890" s="3" t="str">
        <f>T("50971087")</f>
        <v>50971087</v>
      </c>
      <c r="B890" s="14" t="s">
        <v>4884</v>
      </c>
      <c r="C890" s="3" t="s">
        <v>894</v>
      </c>
      <c r="D890" s="3" t="str">
        <f>T("高光起著")</f>
        <v>高光起著</v>
      </c>
      <c r="E890" s="3" t="str">
        <f>T("社科文獻")</f>
        <v>社科文獻</v>
      </c>
      <c r="F890" s="3">
        <v>45</v>
      </c>
      <c r="G890" s="3">
        <v>270</v>
      </c>
    </row>
    <row r="891" spans="1:7" ht="14.25">
      <c r="A891" s="3" t="str">
        <f>T("50971285")</f>
        <v>50971285</v>
      </c>
      <c r="B891" s="14" t="s">
        <v>4892</v>
      </c>
      <c r="C891" s="3" t="s">
        <v>895</v>
      </c>
      <c r="D891" s="3" t="str">
        <f>T("鄭大華")</f>
        <v>鄭大華</v>
      </c>
      <c r="E891" s="3" t="str">
        <f>T("社科文獻")</f>
        <v>社科文獻</v>
      </c>
      <c r="F891" s="3">
        <v>79</v>
      </c>
      <c r="G891" s="3">
        <v>474</v>
      </c>
    </row>
    <row r="892" spans="1:7" ht="14.25">
      <c r="A892" s="3" t="str">
        <f>T("50971337")</f>
        <v>50971337</v>
      </c>
      <c r="B892" s="14" t="s">
        <v>4895</v>
      </c>
      <c r="C892" s="3" t="s">
        <v>896</v>
      </c>
      <c r="D892" s="3" t="str">
        <f>T("聶鴻音. 孫伯君. 編")</f>
        <v>聶鴻音. 孫伯君. 編</v>
      </c>
      <c r="E892" s="3" t="str">
        <f>T("社科文獻")</f>
        <v>社科文獻</v>
      </c>
      <c r="F892" s="3">
        <v>79</v>
      </c>
      <c r="G892" s="3">
        <v>474</v>
      </c>
    </row>
    <row r="893" spans="1:7" ht="14.25">
      <c r="A893" s="3" t="str">
        <f>T("50971362")</f>
        <v>50971362</v>
      </c>
      <c r="B893" s="14" t="s">
        <v>4898</v>
      </c>
      <c r="C893" s="3" t="s">
        <v>897</v>
      </c>
      <c r="D893" s="3" t="str">
        <f>T("曹榮湘")</f>
        <v>曹榮湘</v>
      </c>
      <c r="E893" s="3" t="str">
        <f>T("社科文獻")</f>
        <v>社科文獻</v>
      </c>
      <c r="F893" s="3">
        <v>59</v>
      </c>
      <c r="G893" s="3">
        <v>354</v>
      </c>
    </row>
    <row r="894" spans="1:7" ht="14.25">
      <c r="A894" s="3" t="str">
        <f>T("50971430")</f>
        <v>50971430</v>
      </c>
      <c r="B894" s="14" t="s">
        <v>4901</v>
      </c>
      <c r="C894" s="3" t="s">
        <v>898</v>
      </c>
      <c r="D894" s="3" t="str">
        <f>T("徐金髮. 等著")</f>
        <v>徐金髮. 等著</v>
      </c>
      <c r="E894" s="3" t="str">
        <f>T("社科文獻")</f>
        <v>社科文獻</v>
      </c>
      <c r="F894" s="3">
        <v>59</v>
      </c>
      <c r="G894" s="3">
        <v>354</v>
      </c>
    </row>
    <row r="895" spans="1:7" ht="14.25">
      <c r="A895" s="3" t="str">
        <f>T("50971447")</f>
        <v>50971447</v>
      </c>
      <c r="B895" s="14" t="s">
        <v>4904</v>
      </c>
      <c r="C895" s="3" t="s">
        <v>899</v>
      </c>
      <c r="D895" s="3" t="str">
        <f>T("王斌. 著")</f>
        <v>王斌. 著</v>
      </c>
      <c r="E895" s="3" t="str">
        <f>T("社科文獻")</f>
        <v>社科文獻</v>
      </c>
      <c r="F895" s="3">
        <v>59</v>
      </c>
      <c r="G895" s="3">
        <v>354</v>
      </c>
    </row>
    <row r="896" spans="1:7" ht="14.25">
      <c r="A896" s="3" t="str">
        <f>T("50971453")</f>
        <v>50971453</v>
      </c>
      <c r="B896" s="14" t="s">
        <v>4907</v>
      </c>
      <c r="C896" s="3" t="s">
        <v>900</v>
      </c>
      <c r="D896" s="3" t="str">
        <f>T("曹雯. 著")</f>
        <v>曹雯. 著</v>
      </c>
      <c r="E896" s="3" t="str">
        <f>T("社科文獻")</f>
        <v>社科文獻</v>
      </c>
      <c r="F896" s="3">
        <v>59</v>
      </c>
      <c r="G896" s="3">
        <v>354</v>
      </c>
    </row>
    <row r="897" spans="1:7" ht="14.25">
      <c r="A897" s="3" t="str">
        <f>T("50971472")</f>
        <v>50971472</v>
      </c>
      <c r="B897" s="14" t="s">
        <v>4910</v>
      </c>
      <c r="C897" s="3" t="s">
        <v>901</v>
      </c>
      <c r="D897" s="3" t="str">
        <f>T("曾少軍")</f>
        <v>曾少軍</v>
      </c>
      <c r="E897" s="3" t="str">
        <f>T("社科文獻")</f>
        <v>社科文獻</v>
      </c>
      <c r="F897" s="3">
        <v>55</v>
      </c>
      <c r="G897" s="3">
        <v>330</v>
      </c>
    </row>
    <row r="898" spans="1:7" ht="14.25">
      <c r="A898" s="3" t="str">
        <f>T("50971473")</f>
        <v>50971473</v>
      </c>
      <c r="B898" s="14" t="s">
        <v>4913</v>
      </c>
      <c r="C898" s="3" t="s">
        <v>902</v>
      </c>
      <c r="D898" s="3" t="str">
        <f>T("張煥波")</f>
        <v>張煥波</v>
      </c>
      <c r="E898" s="3" t="str">
        <f>T("社科文獻")</f>
        <v>社科文獻</v>
      </c>
      <c r="F898" s="3">
        <v>65</v>
      </c>
      <c r="G898" s="3">
        <v>390</v>
      </c>
    </row>
    <row r="899" spans="1:7" ht="14.25">
      <c r="A899" s="3" t="str">
        <f>T("50971489")</f>
        <v>50971489</v>
      </c>
      <c r="B899" s="14" t="s">
        <v>4920</v>
      </c>
      <c r="C899" s="3" t="s">
        <v>903</v>
      </c>
      <c r="D899" s="3" t="str">
        <f>T("左學金")</f>
        <v>左學金</v>
      </c>
      <c r="E899" s="3" t="str">
        <f>T("社科文獻")</f>
        <v>社科文獻</v>
      </c>
      <c r="F899" s="3">
        <v>59</v>
      </c>
      <c r="G899" s="3">
        <v>354</v>
      </c>
    </row>
    <row r="900" spans="1:7" ht="14.25">
      <c r="A900" s="3" t="str">
        <f>T("50971495")</f>
        <v>50971495</v>
      </c>
      <c r="B900" s="14" t="s">
        <v>4923</v>
      </c>
      <c r="C900" s="3" t="s">
        <v>904</v>
      </c>
      <c r="D900" s="3" t="str">
        <f>T("肖安民. 主編")</f>
        <v>肖安民. 主編</v>
      </c>
      <c r="E900" s="3" t="str">
        <f>T("社科文獻")</f>
        <v>社科文獻</v>
      </c>
      <c r="F900" s="3">
        <v>69</v>
      </c>
      <c r="G900" s="3">
        <v>414</v>
      </c>
    </row>
    <row r="901" spans="1:7" ht="14.25">
      <c r="A901" s="3" t="str">
        <f>T("50971508")</f>
        <v>50971508</v>
      </c>
      <c r="B901" s="14" t="s">
        <v>4926</v>
      </c>
      <c r="C901" s="3" t="s">
        <v>905</v>
      </c>
      <c r="D901" s="3" t="str">
        <f>T("蔡俊生. 著")</f>
        <v>蔡俊生. 著</v>
      </c>
      <c r="E901" s="3" t="str">
        <f>T("社科文獻")</f>
        <v>社科文獻</v>
      </c>
      <c r="F901" s="3">
        <v>79</v>
      </c>
      <c r="G901" s="3">
        <v>474</v>
      </c>
    </row>
    <row r="902" spans="1:7" ht="14.25">
      <c r="A902" s="3" t="str">
        <f>T("50971532")</f>
        <v>50971532</v>
      </c>
      <c r="B902" s="14" t="s">
        <v>4929</v>
      </c>
      <c r="C902" s="3" t="s">
        <v>906</v>
      </c>
      <c r="D902" s="3" t="str">
        <f>T("王紅旗. 主編")</f>
        <v>王紅旗. 主編</v>
      </c>
      <c r="E902" s="3" t="str">
        <f>T("社科文獻")</f>
        <v>社科文獻</v>
      </c>
      <c r="F902" s="3">
        <v>39</v>
      </c>
      <c r="G902" s="3">
        <v>234</v>
      </c>
    </row>
    <row r="903" spans="1:7" ht="14.25">
      <c r="A903" s="3" t="str">
        <f>T("50971548")</f>
        <v>50971548</v>
      </c>
      <c r="B903" s="14" t="s">
        <v>4932</v>
      </c>
      <c r="C903" s="3" t="s">
        <v>907</v>
      </c>
      <c r="D903" s="3" t="str">
        <f>T("楊柳")</f>
        <v>楊柳</v>
      </c>
      <c r="E903" s="3" t="str">
        <f>T("社科文獻")</f>
        <v>社科文獻</v>
      </c>
      <c r="F903" s="3">
        <v>59</v>
      </c>
      <c r="G903" s="3">
        <v>354</v>
      </c>
    </row>
    <row r="904" spans="1:7" ht="14.25">
      <c r="A904" s="3" t="str">
        <f>T("50971582")</f>
        <v>50971582</v>
      </c>
      <c r="B904" s="14" t="s">
        <v>4935</v>
      </c>
      <c r="C904" s="3" t="s">
        <v>908</v>
      </c>
      <c r="D904" s="3" t="str">
        <f>T("石英. 主編")</f>
        <v>石英. 主編</v>
      </c>
      <c r="E904" s="3" t="str">
        <f>T("社科文獻")</f>
        <v>社科文獻</v>
      </c>
      <c r="F904" s="3">
        <v>75</v>
      </c>
      <c r="G904" s="3">
        <v>450</v>
      </c>
    </row>
    <row r="905" spans="1:7" ht="14.25">
      <c r="A905" s="3" t="str">
        <f>T("50971597")</f>
        <v>50971597</v>
      </c>
      <c r="B905" s="14" t="s">
        <v>4938</v>
      </c>
      <c r="C905" s="3" t="s">
        <v>909</v>
      </c>
      <c r="D905" s="3" t="str">
        <f>T("倪鵬飛. (美) 克拉索. 主編")</f>
        <v>倪鵬飛. (美) 克拉索. 主編</v>
      </c>
      <c r="E905" s="3" t="str">
        <f>T("社科文獻")</f>
        <v>社科文獻</v>
      </c>
      <c r="F905" s="3">
        <v>198</v>
      </c>
      <c r="G905" s="3">
        <v>1188</v>
      </c>
    </row>
    <row r="906" spans="1:7" ht="14.25">
      <c r="A906" s="3" t="str">
        <f>T("50972367")</f>
        <v>50972367</v>
      </c>
      <c r="B906" s="14" t="s">
        <v>4941</v>
      </c>
      <c r="C906" s="3" t="s">
        <v>910</v>
      </c>
      <c r="D906" s="3" t="str">
        <f>T("馮江峰著")</f>
        <v>馮江峰著</v>
      </c>
      <c r="E906" s="3" t="str">
        <f>T("社科文獻")</f>
        <v>社科文獻</v>
      </c>
      <c r="F906" s="3">
        <v>45</v>
      </c>
      <c r="G906" s="3">
        <v>270</v>
      </c>
    </row>
    <row r="907" spans="1:7" ht="14.25">
      <c r="A907" s="3" t="str">
        <f>T("50972456")</f>
        <v>50972456</v>
      </c>
      <c r="B907" s="14" t="s">
        <v>4944</v>
      </c>
      <c r="C907" s="3" t="s">
        <v>911</v>
      </c>
      <c r="D907" s="3" t="str">
        <f>T("劉克祥")</f>
        <v>劉克祥</v>
      </c>
      <c r="E907" s="3" t="str">
        <f>T("社科文獻")</f>
        <v>社科文獻</v>
      </c>
      <c r="F907" s="3">
        <v>15</v>
      </c>
      <c r="G907" s="3">
        <v>90</v>
      </c>
    </row>
    <row r="908" spans="1:7" ht="14.25">
      <c r="A908" s="3" t="str">
        <f>T("50980522")</f>
        <v>50980522</v>
      </c>
      <c r="B908" s="14" t="s">
        <v>4947</v>
      </c>
      <c r="C908" s="3" t="s">
        <v>912</v>
      </c>
      <c r="D908" s="3" t="str">
        <f>T("北京電視臺衛視節目中心")</f>
        <v>北京電視臺衛視節目中心</v>
      </c>
      <c r="E908" s="3" t="str">
        <f>T("中共黨史")</f>
        <v>中共黨史</v>
      </c>
      <c r="F908" s="3">
        <v>35</v>
      </c>
      <c r="G908" s="3">
        <v>210</v>
      </c>
    </row>
    <row r="909" spans="1:7" ht="14.25">
      <c r="A909" s="3" t="str">
        <f>T("50980589")</f>
        <v>50980589</v>
      </c>
      <c r="B909" s="14" t="s">
        <v>4951</v>
      </c>
      <c r="C909" s="3" t="s">
        <v>913</v>
      </c>
      <c r="D909" s="3" t="str">
        <f>T("齊鵬飛. 主編")</f>
        <v>齊鵬飛. 主編</v>
      </c>
      <c r="E909" s="3" t="str">
        <f>T("中共黨史")</f>
        <v>中共黨史</v>
      </c>
      <c r="F909" s="3">
        <v>45</v>
      </c>
      <c r="G909" s="3">
        <v>270</v>
      </c>
    </row>
    <row r="910" spans="1:7" ht="14.25">
      <c r="A910" s="3" t="str">
        <f>T("50980660")</f>
        <v>50980660</v>
      </c>
      <c r="B910" s="14" t="s">
        <v>4954</v>
      </c>
      <c r="C910" s="3" t="s">
        <v>914</v>
      </c>
      <c r="D910" s="3" t="str">
        <f>T("北京電視臺衛視節目中心")</f>
        <v>北京電視臺衛視節目中心</v>
      </c>
      <c r="E910" s="3" t="str">
        <f>T("中共黨史")</f>
        <v>中共黨史</v>
      </c>
      <c r="F910" s="3">
        <v>29</v>
      </c>
      <c r="G910" s="3">
        <v>174</v>
      </c>
    </row>
    <row r="911" spans="1:7" ht="14.25">
      <c r="A911" s="3" t="str">
        <f>T("51001414")</f>
        <v>51001414</v>
      </c>
      <c r="B911" s="14" t="s">
        <v>4956</v>
      </c>
      <c r="C911" s="3" t="s">
        <v>915</v>
      </c>
      <c r="D911" s="3" t="str">
        <f>T("孫瑞雪")</f>
        <v>孫瑞雪</v>
      </c>
      <c r="E911" s="3">
        <f>T("")</f>
      </c>
      <c r="F911" s="3">
        <v>36</v>
      </c>
      <c r="G911" s="3">
        <v>216</v>
      </c>
    </row>
    <row r="912" spans="1:7" ht="14.25">
      <c r="A912" s="3" t="str">
        <f>T("51001798")</f>
        <v>51001798</v>
      </c>
      <c r="B912" s="14" t="s">
        <v>2236</v>
      </c>
      <c r="C912" s="3" t="s">
        <v>916</v>
      </c>
      <c r="D912" s="3" t="str">
        <f>T("楊清媚")</f>
        <v>楊清媚</v>
      </c>
      <c r="E912" s="3" t="str">
        <f>T("北京世圖")</f>
        <v>北京世圖</v>
      </c>
      <c r="F912" s="3">
        <v>30</v>
      </c>
      <c r="G912" s="3">
        <v>180</v>
      </c>
    </row>
    <row r="913" spans="1:7" ht="14.25">
      <c r="A913" s="3" t="str">
        <f>T("51001805")</f>
        <v>51001805</v>
      </c>
      <c r="B913" s="14" t="s">
        <v>4962</v>
      </c>
      <c r="C913" s="3" t="s">
        <v>917</v>
      </c>
      <c r="D913" s="3" t="str">
        <f>T("朝暉")</f>
        <v>朝暉</v>
      </c>
      <c r="E913" s="3" t="str">
        <f>T("世界圖書")</f>
        <v>世界圖書</v>
      </c>
      <c r="F913" s="3">
        <v>26</v>
      </c>
      <c r="G913" s="3">
        <v>156</v>
      </c>
    </row>
    <row r="914" spans="1:7" ht="14.25">
      <c r="A914" s="3" t="str">
        <f>T("51001807")</f>
        <v>51001807</v>
      </c>
      <c r="B914" s="14" t="s">
        <v>2236</v>
      </c>
      <c r="C914" s="3" t="s">
        <v>918</v>
      </c>
      <c r="D914" s="3">
        <f>T("")</f>
      </c>
      <c r="E914" s="3" t="str">
        <f>T("世界圖書")</f>
        <v>世界圖書</v>
      </c>
      <c r="F914" s="3">
        <v>32</v>
      </c>
      <c r="G914" s="3">
        <v>192</v>
      </c>
    </row>
    <row r="915" spans="1:7" ht="14.25">
      <c r="A915" s="3" t="str">
        <f>T("51001808")</f>
        <v>51001808</v>
      </c>
      <c r="B915" s="14" t="s">
        <v>4966</v>
      </c>
      <c r="C915" s="3" t="s">
        <v>919</v>
      </c>
      <c r="D915" s="3" t="str">
        <f>T("張亞輝")</f>
        <v>張亞輝</v>
      </c>
      <c r="E915" s="3" t="str">
        <f>T("北京圖書館")</f>
        <v>北京圖書館</v>
      </c>
      <c r="F915" s="3">
        <v>28</v>
      </c>
      <c r="G915" s="3">
        <v>168</v>
      </c>
    </row>
    <row r="916" spans="1:7" ht="14.25">
      <c r="A916" s="3" t="str">
        <f>T("51001880")</f>
        <v>51001880</v>
      </c>
      <c r="B916" s="14" t="s">
        <v>4969</v>
      </c>
      <c r="C916" s="3" t="s">
        <v>920</v>
      </c>
      <c r="D916" s="3" t="str">
        <f>T("(美) 科恩. 著")</f>
        <v>(美) 科恩. 著</v>
      </c>
      <c r="E916" s="3" t="str">
        <f>T("世界圖書")</f>
        <v>世界圖書</v>
      </c>
      <c r="F916" s="3">
        <v>38</v>
      </c>
      <c r="G916" s="3">
        <v>228</v>
      </c>
    </row>
    <row r="917" spans="1:7" ht="14.25">
      <c r="A917" s="3" t="str">
        <f>T("51003673")</f>
        <v>51003673</v>
      </c>
      <c r="B917" s="14" t="s">
        <v>4972</v>
      </c>
      <c r="C917" s="3" t="s">
        <v>921</v>
      </c>
      <c r="D917" s="3" t="str">
        <f>T("唐景椿")</f>
        <v>唐景椿</v>
      </c>
      <c r="E917" s="3" t="str">
        <f>T("北京世圖")</f>
        <v>北京世圖</v>
      </c>
      <c r="F917" s="3">
        <v>28</v>
      </c>
      <c r="G917" s="3">
        <v>168</v>
      </c>
    </row>
    <row r="918" spans="1:7" ht="14.25">
      <c r="A918" s="3" t="str">
        <f>T("51040306")</f>
        <v>51040306</v>
      </c>
      <c r="B918" s="14" t="s">
        <v>4975</v>
      </c>
      <c r="C918" s="3" t="s">
        <v>922</v>
      </c>
      <c r="D918" s="3" t="str">
        <f>T("李異鳴")</f>
        <v>李異鳴</v>
      </c>
      <c r="E918" s="3" t="str">
        <f>T("新世界")</f>
        <v>新世界</v>
      </c>
      <c r="F918" s="3">
        <v>29.8</v>
      </c>
      <c r="G918" s="3">
        <v>179</v>
      </c>
    </row>
    <row r="919" spans="1:7" ht="14.25">
      <c r="A919" s="3" t="str">
        <f>T("51070100")</f>
        <v>51070100</v>
      </c>
      <c r="B919" s="14" t="s">
        <v>4983</v>
      </c>
      <c r="C919" s="3" t="s">
        <v>923</v>
      </c>
      <c r="D919" s="3" t="str">
        <f>T("本社")</f>
        <v>本社</v>
      </c>
      <c r="E919" s="3" t="str">
        <f>T("中國長安")</f>
        <v>中國長安</v>
      </c>
      <c r="F919" s="3">
        <v>39.8</v>
      </c>
      <c r="G919" s="3">
        <v>239</v>
      </c>
    </row>
    <row r="920" spans="1:7" ht="14.25">
      <c r="A920" s="3" t="str">
        <f>T("51070110")</f>
        <v>51070110</v>
      </c>
      <c r="B920" s="14" t="s">
        <v>4986</v>
      </c>
      <c r="C920" s="3" t="s">
        <v>924</v>
      </c>
      <c r="D920" s="3" t="str">
        <f>T("本社")</f>
        <v>本社</v>
      </c>
      <c r="E920" s="3" t="str">
        <f>T("中國長安")</f>
        <v>中國長安</v>
      </c>
      <c r="F920" s="3">
        <v>39.8</v>
      </c>
      <c r="G920" s="3">
        <v>239</v>
      </c>
    </row>
    <row r="921" spans="1:7" ht="14.25">
      <c r="A921" s="3" t="str">
        <f>T("51070163")</f>
        <v>51070163</v>
      </c>
      <c r="B921" s="14" t="s">
        <v>4988</v>
      </c>
      <c r="C921" s="3" t="s">
        <v>925</v>
      </c>
      <c r="D921" s="3" t="str">
        <f>T("王少農. 編著")</f>
        <v>王少農. 編著</v>
      </c>
      <c r="E921" s="3" t="str">
        <f>T("中國長安")</f>
        <v>中國長安</v>
      </c>
      <c r="F921" s="3">
        <v>40</v>
      </c>
      <c r="G921" s="3">
        <v>240</v>
      </c>
    </row>
    <row r="922" spans="1:7" ht="14.25">
      <c r="A922" s="3" t="str">
        <f>T("51100211")</f>
        <v>51100211</v>
      </c>
      <c r="B922" s="14" t="s">
        <v>4991</v>
      </c>
      <c r="C922" s="3" t="s">
        <v>926</v>
      </c>
      <c r="D922" s="3" t="str">
        <f>T("陳冬梅. 著")</f>
        <v>陳冬梅. 著</v>
      </c>
      <c r="E922" s="3" t="str">
        <f>T("海豚")</f>
        <v>海豚</v>
      </c>
      <c r="F922" s="3">
        <v>28</v>
      </c>
      <c r="G922" s="3">
        <v>168</v>
      </c>
    </row>
    <row r="923" spans="1:7" ht="14.25">
      <c r="A923" s="3" t="str">
        <f>T("51100213")</f>
        <v>51100213</v>
      </c>
      <c r="B923" s="14" t="s">
        <v>4995</v>
      </c>
      <c r="C923" s="3" t="s">
        <v>927</v>
      </c>
      <c r="D923" s="3" t="str">
        <f>T("移然. 著")</f>
        <v>移然. 著</v>
      </c>
      <c r="E923" s="3" t="str">
        <f>T("海豚")</f>
        <v>海豚</v>
      </c>
      <c r="F923" s="3">
        <v>28</v>
      </c>
      <c r="G923" s="3">
        <v>168</v>
      </c>
    </row>
    <row r="924" spans="1:7" ht="14.25">
      <c r="A924" s="3" t="str">
        <f>T("51100214")</f>
        <v>51100214</v>
      </c>
      <c r="B924" s="14" t="s">
        <v>4998</v>
      </c>
      <c r="C924" s="3" t="s">
        <v>928</v>
      </c>
      <c r="D924" s="3" t="str">
        <f>T("甘穀. 著")</f>
        <v>甘穀. 著</v>
      </c>
      <c r="E924" s="3" t="str">
        <f>T("海豚")</f>
        <v>海豚</v>
      </c>
      <c r="F924" s="3">
        <v>28</v>
      </c>
      <c r="G924" s="3">
        <v>168</v>
      </c>
    </row>
    <row r="925" spans="1:7" ht="14.25">
      <c r="A925" s="3" t="str">
        <f>T("51100215")</f>
        <v>51100215</v>
      </c>
      <c r="B925" s="14" t="s">
        <v>5001</v>
      </c>
      <c r="C925" s="3" t="s">
        <v>929</v>
      </c>
      <c r="D925" s="3" t="str">
        <f>T("胡善恩. 著")</f>
        <v>胡善恩. 著</v>
      </c>
      <c r="E925" s="3" t="str">
        <f>T("海豚")</f>
        <v>海豚</v>
      </c>
      <c r="F925" s="3">
        <v>28</v>
      </c>
      <c r="G925" s="3">
        <v>168</v>
      </c>
    </row>
    <row r="926" spans="1:7" ht="14.25">
      <c r="A926" s="3" t="str">
        <f>T("51100216")</f>
        <v>51100216</v>
      </c>
      <c r="B926" s="14" t="s">
        <v>5004</v>
      </c>
      <c r="C926" s="3" t="s">
        <v>930</v>
      </c>
      <c r="D926" s="3" t="str">
        <f>T("朱雲霞. 著")</f>
        <v>朱雲霞. 著</v>
      </c>
      <c r="E926" s="3" t="str">
        <f>T("海豚")</f>
        <v>海豚</v>
      </c>
      <c r="F926" s="3">
        <v>28</v>
      </c>
      <c r="G926" s="3">
        <v>168</v>
      </c>
    </row>
    <row r="927" spans="1:7" ht="14.25">
      <c r="A927" s="3" t="str">
        <f>T("51130121")</f>
        <v>51130121</v>
      </c>
      <c r="B927" s="14" t="s">
        <v>5007</v>
      </c>
      <c r="C927" s="3" t="s">
        <v>931</v>
      </c>
      <c r="D927" s="3" t="str">
        <f>T("清隱")</f>
        <v>清隱</v>
      </c>
      <c r="E927" s="3" t="str">
        <f>T("中國華僑")</f>
        <v>中國華僑</v>
      </c>
      <c r="F927" s="3">
        <v>30</v>
      </c>
      <c r="G927" s="3">
        <v>180</v>
      </c>
    </row>
    <row r="928" spans="1:7" ht="14.25">
      <c r="A928" s="3" t="str">
        <f>T("51130328")</f>
        <v>51130328</v>
      </c>
      <c r="B928" s="14" t="s">
        <v>5011</v>
      </c>
      <c r="C928" s="3" t="s">
        <v>932</v>
      </c>
      <c r="D928" s="3" t="str">
        <f>T("朱曉翔. 著")</f>
        <v>朱曉翔. 著</v>
      </c>
      <c r="E928" s="3" t="str">
        <f>T("中國華僑")</f>
        <v>中國華僑</v>
      </c>
      <c r="F928" s="3">
        <v>30</v>
      </c>
      <c r="G928" s="3">
        <v>180</v>
      </c>
    </row>
    <row r="929" spans="1:7" ht="14.25">
      <c r="A929" s="3" t="str">
        <f>T("51130534")</f>
        <v>51130534</v>
      </c>
      <c r="B929" s="14" t="s">
        <v>5014</v>
      </c>
      <c r="C929" s="3" t="s">
        <v>933</v>
      </c>
      <c r="D929" s="3" t="str">
        <f>T("瀚海簫聲")</f>
        <v>瀚海簫聲</v>
      </c>
      <c r="E929" s="3" t="str">
        <f>T("中國華僑")</f>
        <v>中國華僑</v>
      </c>
      <c r="F929" s="3">
        <v>25.8</v>
      </c>
      <c r="G929" s="3">
        <v>155</v>
      </c>
    </row>
    <row r="930" spans="1:7" ht="14.25">
      <c r="A930" s="3" t="str">
        <f>T("51170206")</f>
        <v>51170206</v>
      </c>
      <c r="B930" s="14" t="s">
        <v>5017</v>
      </c>
      <c r="C930" s="3" t="s">
        <v>934</v>
      </c>
      <c r="D930" s="3" t="str">
        <f>T("陳方猛")</f>
        <v>陳方猛</v>
      </c>
      <c r="E930" s="3" t="str">
        <f>T("中央編譯")</f>
        <v>中央編譯</v>
      </c>
      <c r="F930" s="3">
        <v>42</v>
      </c>
      <c r="G930" s="3">
        <v>252</v>
      </c>
    </row>
    <row r="931" spans="1:7" ht="14.25">
      <c r="A931" s="3" t="str">
        <f>T("51170281")</f>
        <v>51170281</v>
      </c>
      <c r="B931" s="14" t="s">
        <v>5021</v>
      </c>
      <c r="C931" s="3" t="s">
        <v>935</v>
      </c>
      <c r="D931" s="3" t="str">
        <f>T("左懷建")</f>
        <v>左懷建</v>
      </c>
      <c r="E931" s="3" t="str">
        <f>T("中央編譯")</f>
        <v>中央編譯</v>
      </c>
      <c r="F931" s="3">
        <v>38</v>
      </c>
      <c r="G931" s="3">
        <v>228</v>
      </c>
    </row>
    <row r="932" spans="1:7" ht="14.25">
      <c r="A932" s="3" t="str">
        <f>T("51300027")</f>
        <v>51300027</v>
      </c>
      <c r="B932" s="14" t="s">
        <v>5024</v>
      </c>
      <c r="C932" s="3" t="s">
        <v>936</v>
      </c>
      <c r="D932" s="3" t="str">
        <f>T("色音. 主編")</f>
        <v>色音. 主編</v>
      </c>
      <c r="E932" s="3" t="str">
        <f>T("知識產權")</f>
        <v>知識產權</v>
      </c>
      <c r="F932" s="3">
        <v>48</v>
      </c>
      <c r="G932" s="3">
        <v>288</v>
      </c>
    </row>
    <row r="933" spans="1:7" ht="14.25">
      <c r="A933" s="3" t="str">
        <f>T("51490342")</f>
        <v>51490342</v>
      </c>
      <c r="B933" s="14" t="s">
        <v>5028</v>
      </c>
      <c r="C933" s="3" t="s">
        <v>937</v>
      </c>
      <c r="D933" s="3" t="str">
        <f>T("(清)陸廷燦")</f>
        <v>(清)陸廷燦</v>
      </c>
      <c r="E933" s="3" t="str">
        <f>T("中國書店")</f>
        <v>中國書店</v>
      </c>
      <c r="F933" s="3">
        <v>980</v>
      </c>
      <c r="G933" s="3">
        <v>5880</v>
      </c>
    </row>
    <row r="934" spans="1:7" ht="14.25">
      <c r="A934" s="3" t="str">
        <f>T("53011682")</f>
        <v>53011682</v>
      </c>
      <c r="B934" s="14" t="s">
        <v>5031</v>
      </c>
      <c r="C934" s="3" t="s">
        <v>938</v>
      </c>
      <c r="D934" s="3" t="str">
        <f>T(".")</f>
        <v>.</v>
      </c>
      <c r="E934" s="3" t="str">
        <f>T("北京少兒")</f>
        <v>北京少兒</v>
      </c>
      <c r="F934" s="3">
        <v>5</v>
      </c>
      <c r="G934" s="3">
        <v>30</v>
      </c>
    </row>
    <row r="935" spans="1:7" ht="14.25">
      <c r="A935" s="3" t="str">
        <f>T("53044280")</f>
        <v>53044280</v>
      </c>
      <c r="B935" s="14" t="s">
        <v>5034</v>
      </c>
      <c r="C935" s="3" t="s">
        <v>939</v>
      </c>
      <c r="D935" s="3" t="str">
        <f>T("本社")</f>
        <v>本社</v>
      </c>
      <c r="E935" s="3" t="str">
        <f>T("北京科技")</f>
        <v>北京科技</v>
      </c>
      <c r="F935" s="3">
        <v>19.8</v>
      </c>
      <c r="G935" s="3">
        <v>119</v>
      </c>
    </row>
    <row r="936" spans="1:7" ht="14.25">
      <c r="A936" s="3" t="str">
        <f>T("53044470")</f>
        <v>53044470</v>
      </c>
      <c r="B936" s="14" t="s">
        <v>5037</v>
      </c>
      <c r="C936" s="3" t="s">
        <v>940</v>
      </c>
      <c r="D936" s="3" t="str">
        <f>T("（俄羅斯）屠格涅夫著")</f>
        <v>（俄羅斯）屠格涅夫著</v>
      </c>
      <c r="E936" s="3" t="str">
        <f>T("北京科技")</f>
        <v>北京科技</v>
      </c>
      <c r="F936" s="3">
        <v>20</v>
      </c>
      <c r="G936" s="3">
        <v>120</v>
      </c>
    </row>
    <row r="937" spans="1:7" ht="14.25">
      <c r="A937" s="3" t="str">
        <f>T("53052551")</f>
        <v>53052551</v>
      </c>
      <c r="B937" s="14" t="s">
        <v>5040</v>
      </c>
      <c r="C937" s="3" t="s">
        <v>941</v>
      </c>
      <c r="D937" s="3" t="str">
        <f>T("王其華")</f>
        <v>王其華</v>
      </c>
      <c r="E937" s="3" t="str">
        <f>T("天津人美")</f>
        <v>天津人美</v>
      </c>
      <c r="F937" s="3">
        <v>15</v>
      </c>
      <c r="G937" s="3">
        <v>90</v>
      </c>
    </row>
    <row r="938" spans="1:7" ht="14.25">
      <c r="A938" s="3" t="str">
        <f>T("53052622")</f>
        <v>53052622</v>
      </c>
      <c r="B938" s="14" t="s">
        <v>5044</v>
      </c>
      <c r="C938" s="3" t="s">
        <v>942</v>
      </c>
      <c r="D938" s="3" t="str">
        <f>T(".")</f>
        <v>.</v>
      </c>
      <c r="E938" s="3" t="str">
        <f>T("天津人美")</f>
        <v>天津人美</v>
      </c>
      <c r="F938" s="3">
        <v>85</v>
      </c>
      <c r="G938" s="3">
        <v>510</v>
      </c>
    </row>
    <row r="939" spans="1:7" ht="14.25">
      <c r="A939" s="3" t="str">
        <f>T("53052664")</f>
        <v>53052664</v>
      </c>
      <c r="B939" s="14" t="s">
        <v>5046</v>
      </c>
      <c r="C939" s="3" t="s">
        <v>943</v>
      </c>
      <c r="D939" s="3" t="str">
        <f>T("于慶成")</f>
        <v>于慶成</v>
      </c>
      <c r="E939" s="3" t="str">
        <f>T("天津人美")</f>
        <v>天津人美</v>
      </c>
      <c r="F939" s="3">
        <v>196</v>
      </c>
      <c r="G939" s="3">
        <v>1176</v>
      </c>
    </row>
    <row r="940" spans="1:7" ht="14.25">
      <c r="A940" s="3" t="str">
        <f>T("53052682")</f>
        <v>53052682</v>
      </c>
      <c r="B940" s="14" t="s">
        <v>5049</v>
      </c>
      <c r="C940" s="3" t="s">
        <v>944</v>
      </c>
      <c r="D940" s="3" t="str">
        <f>T("于文波")</f>
        <v>于文波</v>
      </c>
      <c r="E940" s="3" t="str">
        <f>T("天津人美")</f>
        <v>天津人美</v>
      </c>
      <c r="F940" s="3">
        <v>14.8</v>
      </c>
      <c r="G940" s="3">
        <v>89</v>
      </c>
    </row>
    <row r="941" spans="1:7" ht="14.25">
      <c r="A941" s="3" t="str">
        <f>T("53052682A")</f>
        <v>53052682A</v>
      </c>
      <c r="B941" s="14" t="s">
        <v>5049</v>
      </c>
      <c r="C941" s="3" t="s">
        <v>945</v>
      </c>
      <c r="D941" s="3" t="str">
        <f>T("于文波")</f>
        <v>于文波</v>
      </c>
      <c r="E941" s="3" t="str">
        <f>T("天津人美")</f>
        <v>天津人美</v>
      </c>
      <c r="F941" s="3">
        <v>14.8</v>
      </c>
      <c r="G941" s="3">
        <v>89</v>
      </c>
    </row>
    <row r="942" spans="1:7" ht="14.25">
      <c r="A942" s="3" t="str">
        <f>T("53052682B")</f>
        <v>53052682B</v>
      </c>
      <c r="B942" s="14" t="s">
        <v>5049</v>
      </c>
      <c r="C942" s="3" t="s">
        <v>946</v>
      </c>
      <c r="D942" s="3" t="str">
        <f>T("章錦榮")</f>
        <v>章錦榮</v>
      </c>
      <c r="E942" s="3" t="str">
        <f>T("天津人美")</f>
        <v>天津人美</v>
      </c>
      <c r="F942" s="3">
        <v>14.8</v>
      </c>
      <c r="G942" s="3">
        <v>89</v>
      </c>
    </row>
    <row r="943" spans="1:7" ht="14.25">
      <c r="A943" s="3" t="str">
        <f>T("53052682C")</f>
        <v>53052682C</v>
      </c>
      <c r="B943" s="14" t="s">
        <v>5049</v>
      </c>
      <c r="C943" s="3" t="s">
        <v>947</v>
      </c>
      <c r="D943" s="3" t="str">
        <f>T("王嶽")</f>
        <v>王嶽</v>
      </c>
      <c r="E943" s="3" t="str">
        <f>T("天津人美")</f>
        <v>天津人美</v>
      </c>
      <c r="F943" s="3">
        <v>14.8</v>
      </c>
      <c r="G943" s="3">
        <v>89</v>
      </c>
    </row>
    <row r="944" spans="1:7" ht="14.25">
      <c r="A944" s="3" t="str">
        <f>T("53052682D")</f>
        <v>53052682D</v>
      </c>
      <c r="B944" s="14" t="s">
        <v>5049</v>
      </c>
      <c r="C944" s="3" t="s">
        <v>948</v>
      </c>
      <c r="D944" s="3" t="str">
        <f>T("于文波")</f>
        <v>于文波</v>
      </c>
      <c r="E944" s="3" t="str">
        <f>T("天津人美")</f>
        <v>天津人美</v>
      </c>
      <c r="F944" s="3">
        <v>14.8</v>
      </c>
      <c r="G944" s="3">
        <v>89</v>
      </c>
    </row>
    <row r="945" spans="1:7" ht="14.25">
      <c r="A945" s="3" t="str">
        <f>T("53052682E")</f>
        <v>53052682E</v>
      </c>
      <c r="B945" s="14" t="s">
        <v>5049</v>
      </c>
      <c r="C945" s="3" t="s">
        <v>949</v>
      </c>
      <c r="D945" s="3" t="str">
        <f>T("于文波")</f>
        <v>于文波</v>
      </c>
      <c r="E945" s="3" t="str">
        <f>T("天津人美")</f>
        <v>天津人美</v>
      </c>
      <c r="F945" s="3">
        <v>14.8</v>
      </c>
      <c r="G945" s="3">
        <v>89</v>
      </c>
    </row>
    <row r="946" spans="1:7" ht="14.25">
      <c r="A946" s="3" t="str">
        <f>T("53052682F")</f>
        <v>53052682F</v>
      </c>
      <c r="B946" s="14" t="s">
        <v>5049</v>
      </c>
      <c r="C946" s="3" t="s">
        <v>950</v>
      </c>
      <c r="D946" s="3" t="str">
        <f>T("陳棟玲")</f>
        <v>陳棟玲</v>
      </c>
      <c r="E946" s="3" t="str">
        <f>T("天津人美")</f>
        <v>天津人美</v>
      </c>
      <c r="F946" s="3">
        <v>14.8</v>
      </c>
      <c r="G946" s="3">
        <v>89</v>
      </c>
    </row>
    <row r="947" spans="1:7" ht="14.25">
      <c r="A947" s="3" t="str">
        <f>T("53052682G")</f>
        <v>53052682G</v>
      </c>
      <c r="B947" s="14" t="s">
        <v>5049</v>
      </c>
      <c r="C947" s="3" t="s">
        <v>951</v>
      </c>
      <c r="D947" s="3" t="str">
        <f>T("古棕")</f>
        <v>古棕</v>
      </c>
      <c r="E947" s="3" t="str">
        <f>T("天津人美")</f>
        <v>天津人美</v>
      </c>
      <c r="F947" s="3">
        <v>14.8</v>
      </c>
      <c r="G947" s="3">
        <v>89</v>
      </c>
    </row>
    <row r="948" spans="1:7" ht="14.25">
      <c r="A948" s="3" t="str">
        <f>T("53052683B")</f>
        <v>53052683B</v>
      </c>
      <c r="B948" s="14" t="s">
        <v>5063</v>
      </c>
      <c r="C948" s="3" t="s">
        <v>952</v>
      </c>
      <c r="D948" s="3" t="str">
        <f>T("王炳耀")</f>
        <v>王炳耀</v>
      </c>
      <c r="E948" s="3" t="str">
        <f>T("天津人美")</f>
        <v>天津人美</v>
      </c>
      <c r="F948" s="3">
        <v>12.6</v>
      </c>
      <c r="G948" s="3">
        <v>76</v>
      </c>
    </row>
    <row r="949" spans="1:7" ht="14.25">
      <c r="A949" s="3" t="str">
        <f>T("53052683C")</f>
        <v>53052683C</v>
      </c>
      <c r="B949" s="14" t="s">
        <v>5063</v>
      </c>
      <c r="C949" s="3" t="s">
        <v>953</v>
      </c>
      <c r="D949" s="3" t="str">
        <f>T("劉軍")</f>
        <v>劉軍</v>
      </c>
      <c r="E949" s="3" t="str">
        <f>T("天津人美")</f>
        <v>天津人美</v>
      </c>
      <c r="F949" s="3">
        <v>23</v>
      </c>
      <c r="G949" s="3">
        <v>138</v>
      </c>
    </row>
    <row r="950" spans="1:7" ht="14.25">
      <c r="A950" s="3" t="str">
        <f>T("53052712")</f>
        <v>53052712</v>
      </c>
      <c r="B950" s="14" t="s">
        <v>5068</v>
      </c>
      <c r="C950" s="3" t="s">
        <v>954</v>
      </c>
      <c r="D950" s="3" t="str">
        <f>T("任煥斌")</f>
        <v>任煥斌</v>
      </c>
      <c r="E950" s="3" t="str">
        <f>T("天津人美")</f>
        <v>天津人美</v>
      </c>
      <c r="F950" s="3">
        <v>46</v>
      </c>
      <c r="G950" s="3">
        <v>276</v>
      </c>
    </row>
    <row r="951" spans="1:7" ht="14.25">
      <c r="A951" s="3" t="str">
        <f>T("53052717")</f>
        <v>53052717</v>
      </c>
      <c r="B951" s="14" t="s">
        <v>5071</v>
      </c>
      <c r="C951" s="3" t="s">
        <v>955</v>
      </c>
      <c r="D951" s="3" t="str">
        <f>T("劉成喻")</f>
        <v>劉成喻</v>
      </c>
      <c r="E951" s="3" t="str">
        <f>T("天津人美")</f>
        <v>天津人美</v>
      </c>
      <c r="F951" s="3">
        <v>23</v>
      </c>
      <c r="G951" s="3">
        <v>138</v>
      </c>
    </row>
    <row r="952" spans="1:7" ht="14.25">
      <c r="A952" s="3" t="str">
        <f>T("53052717A")</f>
        <v>53052717A</v>
      </c>
      <c r="B952" s="14" t="s">
        <v>5071</v>
      </c>
      <c r="C952" s="3" t="s">
        <v>956</v>
      </c>
      <c r="D952" s="3" t="str">
        <f>T("劉成喻")</f>
        <v>劉成喻</v>
      </c>
      <c r="E952" s="3" t="str">
        <f>T("天津人美")</f>
        <v>天津人美</v>
      </c>
      <c r="F952" s="3">
        <v>23</v>
      </c>
      <c r="G952" s="3">
        <v>138</v>
      </c>
    </row>
    <row r="953" spans="1:7" ht="14.25">
      <c r="A953" s="3" t="str">
        <f>T("53052723")</f>
        <v>53052723</v>
      </c>
      <c r="B953" s="14" t="s">
        <v>5075</v>
      </c>
      <c r="C953" s="3" t="s">
        <v>957</v>
      </c>
      <c r="D953" s="3" t="str">
        <f>T("賈憲明")</f>
        <v>賈憲明</v>
      </c>
      <c r="E953" s="3" t="str">
        <f>T("天津人美")</f>
        <v>天津人美</v>
      </c>
      <c r="F953" s="3">
        <v>18</v>
      </c>
      <c r="G953" s="3">
        <v>108</v>
      </c>
    </row>
    <row r="954" spans="1:7" ht="14.25">
      <c r="A954" s="3" t="str">
        <f>T("53052726")</f>
        <v>53052726</v>
      </c>
      <c r="B954" s="14" t="s">
        <v>5078</v>
      </c>
      <c r="C954" s="3" t="s">
        <v>958</v>
      </c>
      <c r="D954" s="3" t="str">
        <f>T("張曉冬")</f>
        <v>張曉冬</v>
      </c>
      <c r="E954" s="3" t="str">
        <f>T("天津人美")</f>
        <v>天津人美</v>
      </c>
      <c r="F954" s="3">
        <v>20</v>
      </c>
      <c r="G954" s="3">
        <v>120</v>
      </c>
    </row>
    <row r="955" spans="1:7" ht="14.25">
      <c r="A955" s="3" t="str">
        <f>T("53052727")</f>
        <v>53052727</v>
      </c>
      <c r="B955" s="14" t="s">
        <v>5081</v>
      </c>
      <c r="C955" s="3" t="s">
        <v>959</v>
      </c>
      <c r="D955" s="3" t="str">
        <f>T("吳昊")</f>
        <v>吳昊</v>
      </c>
      <c r="E955" s="3" t="str">
        <f>T("天津人美")</f>
        <v>天津人美</v>
      </c>
      <c r="F955" s="3">
        <v>36</v>
      </c>
      <c r="G955" s="3">
        <v>216</v>
      </c>
    </row>
    <row r="956" spans="1:7" ht="14.25">
      <c r="A956" s="3" t="str">
        <f>T("53052732")</f>
        <v>53052732</v>
      </c>
      <c r="B956" s="14" t="s">
        <v>5084</v>
      </c>
      <c r="C956" s="3" t="s">
        <v>960</v>
      </c>
      <c r="D956" s="3" t="str">
        <f>T("本社")</f>
        <v>本社</v>
      </c>
      <c r="E956" s="3" t="str">
        <f>T("天津人美")</f>
        <v>天津人美</v>
      </c>
      <c r="F956" s="3">
        <v>24</v>
      </c>
      <c r="G956" s="3">
        <v>144</v>
      </c>
    </row>
    <row r="957" spans="1:7" ht="14.25">
      <c r="A957" s="3" t="str">
        <f>T("53052735")</f>
        <v>53052735</v>
      </c>
      <c r="B957" s="14" t="s">
        <v>5086</v>
      </c>
      <c r="C957" s="3" t="s">
        <v>961</v>
      </c>
      <c r="D957" s="3" t="str">
        <f>T("李永")</f>
        <v>李永</v>
      </c>
      <c r="E957" s="3" t="str">
        <f>T("天津人美")</f>
        <v>天津人美</v>
      </c>
      <c r="F957" s="3">
        <v>48</v>
      </c>
      <c r="G957" s="3">
        <v>288</v>
      </c>
    </row>
    <row r="958" spans="1:7" ht="14.25">
      <c r="A958" s="3" t="str">
        <f>T("53052739")</f>
        <v>53052739</v>
      </c>
      <c r="B958" s="14" t="s">
        <v>5089</v>
      </c>
      <c r="C958" s="3" t="s">
        <v>962</v>
      </c>
      <c r="D958" s="3" t="str">
        <f>T("張浩達")</f>
        <v>張浩達</v>
      </c>
      <c r="E958" s="3" t="str">
        <f>T("天津人美")</f>
        <v>天津人美</v>
      </c>
      <c r="F958" s="3">
        <v>29.8</v>
      </c>
      <c r="G958" s="3">
        <v>179</v>
      </c>
    </row>
    <row r="959" spans="1:7" ht="14.25">
      <c r="A959" s="3" t="str">
        <f>T("53052765")</f>
        <v>53052765</v>
      </c>
      <c r="B959" s="14" t="s">
        <v>5092</v>
      </c>
      <c r="C959" s="3" t="s">
        <v>963</v>
      </c>
      <c r="D959" s="3" t="str">
        <f>T("周傑")</f>
        <v>周傑</v>
      </c>
      <c r="E959" s="3" t="str">
        <f>T("天津人美")</f>
        <v>天津人美</v>
      </c>
      <c r="F959" s="3">
        <v>17</v>
      </c>
      <c r="G959" s="3">
        <v>102</v>
      </c>
    </row>
    <row r="960" spans="1:7" ht="14.25">
      <c r="A960" s="3" t="str">
        <f>T("53052839")</f>
        <v>53052839</v>
      </c>
      <c r="B960" s="14" t="s">
        <v>5095</v>
      </c>
      <c r="C960" s="3" t="s">
        <v>964</v>
      </c>
      <c r="D960" s="3" t="str">
        <f>T("張天翼")</f>
        <v>張天翼</v>
      </c>
      <c r="E960" s="3" t="str">
        <f>T("天津人美")</f>
        <v>天津人美</v>
      </c>
      <c r="F960" s="3">
        <v>65</v>
      </c>
      <c r="G960" s="3">
        <v>390</v>
      </c>
    </row>
    <row r="961" spans="1:7" ht="14.25">
      <c r="A961" s="3" t="str">
        <f>T("53052871")</f>
        <v>53052871</v>
      </c>
      <c r="B961" s="14" t="s">
        <v>5102</v>
      </c>
      <c r="C961" s="3" t="s">
        <v>965</v>
      </c>
      <c r="D961" s="3" t="str">
        <f>T("羅文華")</f>
        <v>羅文華</v>
      </c>
      <c r="E961" s="3" t="str">
        <f>T("天津人美")</f>
        <v>天津人美</v>
      </c>
      <c r="F961" s="3">
        <v>24</v>
      </c>
      <c r="G961" s="3">
        <v>144</v>
      </c>
    </row>
    <row r="962" spans="1:7" ht="14.25">
      <c r="A962" s="3" t="str">
        <f>T("53052872")</f>
        <v>53052872</v>
      </c>
      <c r="B962" s="14" t="s">
        <v>5105</v>
      </c>
      <c r="C962" s="3" t="s">
        <v>966</v>
      </c>
      <c r="D962" s="3" t="str">
        <f>T("羅文華")</f>
        <v>羅文華</v>
      </c>
      <c r="E962" s="3" t="str">
        <f>T("天津人美")</f>
        <v>天津人美</v>
      </c>
      <c r="F962" s="3">
        <v>24</v>
      </c>
      <c r="G962" s="3">
        <v>144</v>
      </c>
    </row>
    <row r="963" spans="1:7" ht="14.25">
      <c r="A963" s="3" t="str">
        <f>T("53052974")</f>
        <v>53052974</v>
      </c>
      <c r="B963" s="14" t="s">
        <v>5107</v>
      </c>
      <c r="C963" s="3" t="s">
        <v>967</v>
      </c>
      <c r="D963" s="3" t="str">
        <f>T("趙暉")</f>
        <v>趙暉</v>
      </c>
      <c r="E963" s="3" t="str">
        <f>T("天津人美")</f>
        <v>天津人美</v>
      </c>
      <c r="F963" s="3">
        <v>16.5</v>
      </c>
      <c r="G963" s="3">
        <v>99</v>
      </c>
    </row>
    <row r="964" spans="1:7" ht="14.25">
      <c r="A964" s="3" t="str">
        <f>T("53052974A")</f>
        <v>53052974A</v>
      </c>
      <c r="B964" s="14" t="s">
        <v>5107</v>
      </c>
      <c r="C964" s="3" t="s">
        <v>968</v>
      </c>
      <c r="D964" s="3" t="str">
        <f>T("趙暉")</f>
        <v>趙暉</v>
      </c>
      <c r="E964" s="3" t="str">
        <f>T("天津人美")</f>
        <v>天津人美</v>
      </c>
      <c r="F964" s="3">
        <v>16.5</v>
      </c>
      <c r="G964" s="3">
        <v>99</v>
      </c>
    </row>
    <row r="965" spans="1:7" ht="14.25">
      <c r="A965" s="3" t="str">
        <f>T("53053217")</f>
        <v>53053217</v>
      </c>
      <c r="B965" s="14" t="s">
        <v>5111</v>
      </c>
      <c r="C965" s="3" t="s">
        <v>969</v>
      </c>
      <c r="D965" s="3" t="str">
        <f>T("馮遠")</f>
        <v>馮遠</v>
      </c>
      <c r="E965" s="3" t="str">
        <f>T("天津人美")</f>
        <v>天津人美</v>
      </c>
      <c r="F965" s="3">
        <v>120</v>
      </c>
      <c r="G965" s="3">
        <v>720</v>
      </c>
    </row>
    <row r="966" spans="1:7" ht="14.25">
      <c r="A966" s="3" t="str">
        <f>T("53053393")</f>
        <v>53053393</v>
      </c>
      <c r="B966" s="14" t="s">
        <v>5114</v>
      </c>
      <c r="C966" s="3" t="s">
        <v>970</v>
      </c>
      <c r="D966" s="3" t="str">
        <f>T("艾秀琪")</f>
        <v>艾秀琪</v>
      </c>
      <c r="E966" s="3" t="str">
        <f>T("天津人美")</f>
        <v>天津人美</v>
      </c>
      <c r="F966" s="3">
        <v>33</v>
      </c>
      <c r="G966" s="3">
        <v>198</v>
      </c>
    </row>
    <row r="967" spans="1:7" ht="14.25">
      <c r="A967" s="3" t="str">
        <f>T("53064100")</f>
        <v>53064100</v>
      </c>
      <c r="B967" s="14" t="s">
        <v>5117</v>
      </c>
      <c r="C967" s="3" t="s">
        <v>971</v>
      </c>
      <c r="D967" s="3" t="str">
        <f>T("王世仁著")</f>
        <v>王世仁著</v>
      </c>
      <c r="E967" s="3">
        <f>T("")</f>
      </c>
      <c r="F967" s="3"/>
      <c r="G967" s="3">
        <v>160</v>
      </c>
    </row>
    <row r="968" spans="1:7" ht="14.25">
      <c r="A968" s="3" t="str">
        <f>T("53064519")</f>
        <v>53064519</v>
      </c>
      <c r="B968" s="14" t="s">
        <v>5120</v>
      </c>
      <c r="C968" s="3" t="s">
        <v>972</v>
      </c>
      <c r="D968" s="3" t="str">
        <f>T("莊裕光著")</f>
        <v>莊裕光著</v>
      </c>
      <c r="E968" s="3" t="str">
        <f>T("百花文藝")</f>
        <v>百花文藝</v>
      </c>
      <c r="F968" s="3">
        <v>27</v>
      </c>
      <c r="G968" s="3">
        <v>162</v>
      </c>
    </row>
    <row r="969" spans="1:7" ht="14.25">
      <c r="A969" s="3" t="str">
        <f>T("53064540")</f>
        <v>53064540</v>
      </c>
      <c r="B969" s="14" t="s">
        <v>5124</v>
      </c>
      <c r="C969" s="3" t="s">
        <v>973</v>
      </c>
      <c r="D969" s="3" t="str">
        <f>T("阿萊")</f>
        <v>阿萊</v>
      </c>
      <c r="E969" s="3" t="str">
        <f>T("百花文藝")</f>
        <v>百花文藝</v>
      </c>
      <c r="F969" s="3">
        <v>21</v>
      </c>
      <c r="G969" s="3">
        <v>126</v>
      </c>
    </row>
    <row r="970" spans="1:7" ht="14.25">
      <c r="A970" s="3" t="str">
        <f>T("53064644")</f>
        <v>53064644</v>
      </c>
      <c r="B970" s="14" t="s">
        <v>5127</v>
      </c>
      <c r="C970" s="3" t="s">
        <v>974</v>
      </c>
      <c r="D970" s="3" t="str">
        <f>T("孫福海著")</f>
        <v>孫福海著</v>
      </c>
      <c r="E970" s="3" t="str">
        <f>T("百花文藝")</f>
        <v>百花文藝</v>
      </c>
      <c r="F970" s="3">
        <v>36</v>
      </c>
      <c r="G970" s="3">
        <v>216</v>
      </c>
    </row>
    <row r="971" spans="1:7" ht="14.25">
      <c r="A971" s="3" t="str">
        <f>T("53064684")</f>
        <v>53064684</v>
      </c>
      <c r="B971" s="14" t="s">
        <v>5130</v>
      </c>
      <c r="C971" s="3" t="s">
        <v>975</v>
      </c>
      <c r="D971" s="3" t="str">
        <f>T("王樹林")</f>
        <v>王樹林</v>
      </c>
      <c r="E971" s="3" t="str">
        <f>T("百花文藝")</f>
        <v>百花文藝</v>
      </c>
      <c r="F971" s="3">
        <v>48</v>
      </c>
      <c r="G971" s="3">
        <v>288</v>
      </c>
    </row>
    <row r="972" spans="1:7" ht="14.25">
      <c r="A972" s="3" t="str">
        <f>T("53064950")</f>
        <v>53064950</v>
      </c>
      <c r="B972" s="14" t="s">
        <v>5133</v>
      </c>
      <c r="C972" s="3" t="s">
        <v>976</v>
      </c>
      <c r="D972" s="3" t="str">
        <f>T("樸月")</f>
        <v>樸月</v>
      </c>
      <c r="E972" s="3" t="str">
        <f>T("百花文藝")</f>
        <v>百花文藝</v>
      </c>
      <c r="F972" s="3">
        <v>52</v>
      </c>
      <c r="G972" s="3">
        <v>312</v>
      </c>
    </row>
    <row r="973" spans="1:7" ht="14.25">
      <c r="A973" s="3" t="str">
        <f>T("53065188")</f>
        <v>53065188</v>
      </c>
      <c r="B973" s="14" t="s">
        <v>5136</v>
      </c>
      <c r="C973" s="3" t="s">
        <v>977</v>
      </c>
      <c r="D973" s="3" t="str">
        <f>T("趙遵生")</f>
        <v>趙遵生</v>
      </c>
      <c r="E973" s="3" t="str">
        <f>T("百花文藝")</f>
        <v>百花文藝</v>
      </c>
      <c r="F973" s="3">
        <v>28</v>
      </c>
      <c r="G973" s="3">
        <v>168</v>
      </c>
    </row>
    <row r="974" spans="1:7" ht="14.25">
      <c r="A974" s="3" t="str">
        <f>T("53065204")</f>
        <v>53065204</v>
      </c>
      <c r="B974" s="14" t="s">
        <v>5139</v>
      </c>
      <c r="C974" s="3" t="s">
        <v>978</v>
      </c>
      <c r="D974" s="3" t="str">
        <f>T("範婉")</f>
        <v>範婉</v>
      </c>
      <c r="E974" s="3" t="str">
        <f>T("百花文藝")</f>
        <v>百花文藝</v>
      </c>
      <c r="F974" s="3">
        <v>28</v>
      </c>
      <c r="G974" s="3">
        <v>168</v>
      </c>
    </row>
    <row r="975" spans="1:7" ht="14.25">
      <c r="A975" s="3" t="str">
        <f>T("53065234")</f>
        <v>53065234</v>
      </c>
      <c r="B975" s="14" t="s">
        <v>5142</v>
      </c>
      <c r="C975" s="3" t="s">
        <v>979</v>
      </c>
      <c r="D975" s="3" t="str">
        <f>T("卉放等編")</f>
        <v>卉放等編</v>
      </c>
      <c r="E975" s="3" t="str">
        <f>T("百花文藝")</f>
        <v>百花文藝</v>
      </c>
      <c r="F975" s="3">
        <v>20</v>
      </c>
      <c r="G975" s="3">
        <v>120</v>
      </c>
    </row>
    <row r="976" spans="1:7" ht="14.25">
      <c r="A976" s="3" t="str">
        <f>T("53065313")</f>
        <v>53065313</v>
      </c>
      <c r="B976" s="14" t="s">
        <v>5145</v>
      </c>
      <c r="C976" s="3" t="s">
        <v>980</v>
      </c>
      <c r="D976" s="3" t="str">
        <f>T("林?")</f>
        <v>林?</v>
      </c>
      <c r="E976" s="3" t="str">
        <f>T("百花文藝")</f>
        <v>百花文藝</v>
      </c>
      <c r="F976" s="3">
        <v>26</v>
      </c>
      <c r="G976" s="3">
        <v>156</v>
      </c>
    </row>
    <row r="977" spans="1:7" ht="14.25">
      <c r="A977" s="3" t="str">
        <f>T("53065350")</f>
        <v>53065350</v>
      </c>
      <c r="B977" s="14" t="s">
        <v>5148</v>
      </c>
      <c r="C977" s="3" t="s">
        <v>981</v>
      </c>
      <c r="D977" s="3" t="str">
        <f>T("林?")</f>
        <v>林?</v>
      </c>
      <c r="E977" s="3" t="str">
        <f>T("百花文藝")</f>
        <v>百花文藝</v>
      </c>
      <c r="F977" s="3">
        <v>26</v>
      </c>
      <c r="G977" s="3">
        <v>156</v>
      </c>
    </row>
    <row r="978" spans="1:7" ht="14.25">
      <c r="A978" s="3" t="str">
        <f>T("53065354")</f>
        <v>53065354</v>
      </c>
      <c r="B978" s="14" t="s">
        <v>5150</v>
      </c>
      <c r="C978" s="3" t="s">
        <v>982</v>
      </c>
      <c r="D978" s="3" t="str">
        <f>T("林?")</f>
        <v>林?</v>
      </c>
      <c r="E978" s="3" t="str">
        <f>T("百花文藝")</f>
        <v>百花文藝</v>
      </c>
      <c r="F978" s="3">
        <v>21</v>
      </c>
      <c r="G978" s="3">
        <v>126</v>
      </c>
    </row>
    <row r="979" spans="1:7" ht="14.25">
      <c r="A979" s="3" t="str">
        <f>T("53065541")</f>
        <v>53065541</v>
      </c>
      <c r="B979" s="14" t="s">
        <v>5152</v>
      </c>
      <c r="C979" s="3" t="s">
        <v>983</v>
      </c>
      <c r="D979" s="3" t="str">
        <f>T("卉放等編")</f>
        <v>卉放等編</v>
      </c>
      <c r="E979" s="3" t="str">
        <f>T("百花文藝")</f>
        <v>百花文藝</v>
      </c>
      <c r="F979" s="3">
        <v>20</v>
      </c>
      <c r="G979" s="3">
        <v>120</v>
      </c>
    </row>
    <row r="980" spans="1:7" ht="14.25">
      <c r="A980" s="3" t="str">
        <f>T("53065587")</f>
        <v>53065587</v>
      </c>
      <c r="B980" s="14" t="s">
        <v>5154</v>
      </c>
      <c r="C980" s="3" t="s">
        <v>984</v>
      </c>
      <c r="D980" s="3" t="str">
        <f>T("李菀")</f>
        <v>李菀</v>
      </c>
      <c r="E980" s="3" t="str">
        <f>T("百花文藝")</f>
        <v>百花文藝</v>
      </c>
      <c r="F980" s="3">
        <v>32</v>
      </c>
      <c r="G980" s="3">
        <v>192</v>
      </c>
    </row>
    <row r="981" spans="1:7" ht="14.25">
      <c r="A981" s="3" t="str">
        <f>T("53065602")</f>
        <v>53065602</v>
      </c>
      <c r="B981" s="14" t="s">
        <v>5157</v>
      </c>
      <c r="C981" s="3" t="s">
        <v>985</v>
      </c>
      <c r="D981" s="3" t="str">
        <f>T("王增陵")</f>
        <v>王增陵</v>
      </c>
      <c r="E981" s="3" t="str">
        <f>T("百花文藝")</f>
        <v>百花文藝</v>
      </c>
      <c r="F981" s="3">
        <v>42</v>
      </c>
      <c r="G981" s="3">
        <v>252</v>
      </c>
    </row>
    <row r="982" spans="1:7" ht="14.25">
      <c r="A982" s="3" t="str">
        <f>T("53095165")</f>
        <v>53095165</v>
      </c>
      <c r="B982" s="14" t="s">
        <v>5160</v>
      </c>
      <c r="C982" s="3" t="s">
        <v>986</v>
      </c>
      <c r="D982" s="3" t="str">
        <f>T("袁世碩")</f>
        <v>袁世碩</v>
      </c>
      <c r="E982" s="3" t="str">
        <f>T("天津教育")</f>
        <v>天津教育</v>
      </c>
      <c r="F982" s="3">
        <v>28</v>
      </c>
      <c r="G982" s="3">
        <v>168</v>
      </c>
    </row>
    <row r="983" spans="1:7" ht="14.25">
      <c r="A983" s="3" t="str">
        <f>T("53095201")</f>
        <v>53095201</v>
      </c>
      <c r="B983" s="14" t="s">
        <v>5164</v>
      </c>
      <c r="C983" s="3" t="s">
        <v>987</v>
      </c>
      <c r="D983" s="3" t="str">
        <f>T("鴻雁")</f>
        <v>鴻雁</v>
      </c>
      <c r="E983" s="3" t="str">
        <f>T("天津教育")</f>
        <v>天津教育</v>
      </c>
      <c r="F983" s="3">
        <v>16</v>
      </c>
      <c r="G983" s="3">
        <v>96</v>
      </c>
    </row>
    <row r="984" spans="1:7" ht="14.25">
      <c r="A984" s="3" t="str">
        <f>T("53133662")</f>
        <v>53133662</v>
      </c>
      <c r="B984" s="14" t="s">
        <v>5167</v>
      </c>
      <c r="C984" s="3" t="s">
        <v>988</v>
      </c>
      <c r="D984" s="3" t="str">
        <f>T("王妍丁")</f>
        <v>王妍丁</v>
      </c>
      <c r="E984" s="3" t="str">
        <f>T("春風文藝")</f>
        <v>春風文藝</v>
      </c>
      <c r="F984" s="3">
        <v>26</v>
      </c>
      <c r="G984" s="3">
        <v>156</v>
      </c>
    </row>
    <row r="985" spans="1:7" ht="14.25">
      <c r="A985" s="3" t="str">
        <f>T("53133802")</f>
        <v>53133802</v>
      </c>
      <c r="B985" s="14" t="s">
        <v>5171</v>
      </c>
      <c r="C985" s="3" t="s">
        <v>989</v>
      </c>
      <c r="D985" s="3" t="str">
        <f>T("語笑嫣然. 著")</f>
        <v>語笑嫣然. 著</v>
      </c>
      <c r="E985" s="3" t="str">
        <f>T("春風文藝")</f>
        <v>春風文藝</v>
      </c>
      <c r="F985" s="3">
        <v>16.8</v>
      </c>
      <c r="G985" s="3">
        <v>101</v>
      </c>
    </row>
    <row r="986" spans="1:7" ht="14.25">
      <c r="A986" s="3" t="str">
        <f>T("53172184")</f>
        <v>53172184</v>
      </c>
      <c r="B986" s="14" t="s">
        <v>5174</v>
      </c>
      <c r="C986" s="3" t="s">
        <v>990</v>
      </c>
      <c r="D986" s="3" t="str">
        <f>T("玉晚樓")</f>
        <v>玉晚樓</v>
      </c>
      <c r="E986" s="3" t="str">
        <f>T("北方文藝")</f>
        <v>北方文藝</v>
      </c>
      <c r="F986" s="3">
        <v>22.8</v>
      </c>
      <c r="G986" s="3">
        <v>137</v>
      </c>
    </row>
    <row r="987" spans="1:7" ht="14.25">
      <c r="A987" s="3" t="str">
        <f>T("53182390B")</f>
        <v>53182390B</v>
      </c>
      <c r="B987" s="14" t="s">
        <v>5178</v>
      </c>
      <c r="C987" s="3" t="s">
        <v>991</v>
      </c>
      <c r="D987" s="3" t="str">
        <f>T("魏文源. 編")</f>
        <v>魏文源. 編</v>
      </c>
      <c r="E987" s="3" t="str">
        <f>T("黑美術")</f>
        <v>黑美術</v>
      </c>
      <c r="F987" s="3">
        <v>25</v>
      </c>
      <c r="G987" s="3">
        <v>150</v>
      </c>
    </row>
    <row r="988" spans="1:7" ht="14.25">
      <c r="A988" s="3" t="str">
        <f>T("53212903")</f>
        <v>53212903</v>
      </c>
      <c r="B988" s="14" t="s">
        <v>5182</v>
      </c>
      <c r="C988" s="3" t="s">
        <v>992</v>
      </c>
      <c r="D988" s="3" t="str">
        <f>T("劉迪")</f>
        <v>劉迪</v>
      </c>
      <c r="E988" s="3" t="str">
        <f>T("上海文藝")</f>
        <v>上海文藝</v>
      </c>
      <c r="F988" s="3">
        <v>16</v>
      </c>
      <c r="G988" s="3">
        <v>96</v>
      </c>
    </row>
    <row r="989" spans="1:7" ht="14.25">
      <c r="A989" s="3" t="str">
        <f>T("53213136")</f>
        <v>53213136</v>
      </c>
      <c r="B989" s="14" t="s">
        <v>5186</v>
      </c>
      <c r="C989" s="3" t="s">
        <v>993</v>
      </c>
      <c r="D989" s="3" t="str">
        <f>T("宋浩浩")</f>
        <v>宋浩浩</v>
      </c>
      <c r="E989" s="3" t="str">
        <f>T("上海文藝")</f>
        <v>上海文藝</v>
      </c>
      <c r="F989" s="3">
        <v>25</v>
      </c>
      <c r="G989" s="3">
        <v>150</v>
      </c>
    </row>
    <row r="990" spans="1:7" ht="14.25">
      <c r="A990" s="3" t="str">
        <f>T("53213149")</f>
        <v>53213149</v>
      </c>
      <c r="B990" s="14" t="s">
        <v>5189</v>
      </c>
      <c r="C990" s="3" t="s">
        <v>994</v>
      </c>
      <c r="D990" s="3" t="str">
        <f>T("木童")</f>
        <v>木童</v>
      </c>
      <c r="E990" s="3" t="str">
        <f>T("上海文藝")</f>
        <v>上海文藝</v>
      </c>
      <c r="F990" s="3">
        <v>42</v>
      </c>
      <c r="G990" s="3">
        <v>252</v>
      </c>
    </row>
    <row r="991" spans="1:7" ht="14.25">
      <c r="A991" s="3" t="str">
        <f>T("53213216")</f>
        <v>53213216</v>
      </c>
      <c r="B991" s="14" t="s">
        <v>5192</v>
      </c>
      <c r="C991" s="3" t="s">
        <v>995</v>
      </c>
      <c r="D991" s="3" t="str">
        <f>T("[法]米雪爾·卡娜")</f>
        <v>[法]米雪爾·卡娜</v>
      </c>
      <c r="E991" s="3" t="str">
        <f>T("上海文藝")</f>
        <v>上海文藝</v>
      </c>
      <c r="F991" s="3">
        <v>24</v>
      </c>
      <c r="G991" s="3">
        <v>144</v>
      </c>
    </row>
    <row r="992" spans="1:7" ht="14.25">
      <c r="A992" s="3" t="str">
        <f>T("53213707")</f>
        <v>53213707</v>
      </c>
      <c r="B992" s="14" t="s">
        <v>5195</v>
      </c>
      <c r="C992" s="3" t="s">
        <v>996</v>
      </c>
      <c r="D992" s="3" t="str">
        <f>T("馮苓植. 著")</f>
        <v>馮苓植. 著</v>
      </c>
      <c r="E992" s="3" t="str">
        <f>T("上海文藝")</f>
        <v>上海文藝</v>
      </c>
      <c r="F992" s="3">
        <v>42</v>
      </c>
      <c r="G992" s="3">
        <v>252</v>
      </c>
    </row>
    <row r="993" spans="1:7" ht="14.25">
      <c r="A993" s="3" t="str">
        <f>T("53214669")</f>
        <v>53214669</v>
      </c>
      <c r="B993" s="14" t="s">
        <v>5198</v>
      </c>
      <c r="C993" s="3" t="s">
        <v>997</v>
      </c>
      <c r="D993" s="3" t="str">
        <f>T("祝君波")</f>
        <v>祝君波</v>
      </c>
      <c r="E993" s="3" t="str">
        <f>T("上海文藝")</f>
        <v>上海文藝</v>
      </c>
      <c r="F993" s="3">
        <v>29</v>
      </c>
      <c r="G993" s="3">
        <v>174</v>
      </c>
    </row>
    <row r="994" spans="1:7" ht="14.25">
      <c r="A994" s="3" t="str">
        <f>T("53224428")</f>
        <v>53224428</v>
      </c>
      <c r="B994" s="14" t="s">
        <v>5201</v>
      </c>
      <c r="C994" s="3" t="s">
        <v>998</v>
      </c>
      <c r="D994" s="3" t="str">
        <f>T("崔生國")</f>
        <v>崔生國</v>
      </c>
      <c r="E994" s="3" t="str">
        <f>T("上海人美")</f>
        <v>上海人美</v>
      </c>
      <c r="F994" s="3">
        <v>48</v>
      </c>
      <c r="G994" s="3">
        <v>288</v>
      </c>
    </row>
    <row r="995" spans="1:7" ht="14.25">
      <c r="A995" s="3" t="str">
        <f>T("53225618")</f>
        <v>53225618</v>
      </c>
      <c r="B995" s="14" t="s">
        <v>5205</v>
      </c>
      <c r="C995" s="3" t="s">
        <v>999</v>
      </c>
      <c r="D995" s="3" t="str">
        <f>T("夏燕靖")</f>
        <v>夏燕靖</v>
      </c>
      <c r="E995" s="3" t="str">
        <f>T("上海人美")</f>
        <v>上海人美</v>
      </c>
      <c r="F995" s="3">
        <v>40</v>
      </c>
      <c r="G995" s="3">
        <v>240</v>
      </c>
    </row>
    <row r="996" spans="1:7" ht="14.25">
      <c r="A996" s="3" t="str">
        <f>T("53226777")</f>
        <v>53226777</v>
      </c>
      <c r="B996" s="14" t="s">
        <v>5208</v>
      </c>
      <c r="C996" s="3" t="s">
        <v>1000</v>
      </c>
      <c r="D996" s="3" t="str">
        <f>T("本社")</f>
        <v>本社</v>
      </c>
      <c r="E996" s="3" t="str">
        <f>T("上海人美")</f>
        <v>上海人美</v>
      </c>
      <c r="F996" s="3">
        <v>98</v>
      </c>
      <c r="G996" s="3">
        <v>588</v>
      </c>
    </row>
    <row r="997" spans="1:7" ht="14.25">
      <c r="A997" s="3" t="str">
        <f>T("53238148")</f>
        <v>53238148</v>
      </c>
      <c r="B997" s="14" t="s">
        <v>5210</v>
      </c>
      <c r="C997" s="3" t="s">
        <v>1001</v>
      </c>
      <c r="D997" s="3">
        <f>T("")</f>
      </c>
      <c r="E997" s="3" t="str">
        <f>T("上海科教")</f>
        <v>上海科教</v>
      </c>
      <c r="F997" s="3">
        <v>20</v>
      </c>
      <c r="G997" s="3">
        <v>120</v>
      </c>
    </row>
    <row r="998" spans="1:7" ht="14.25">
      <c r="A998" s="3" t="str">
        <f>T("53238303")</f>
        <v>53238303</v>
      </c>
      <c r="B998" s="14" t="s">
        <v>5213</v>
      </c>
      <c r="C998" s="3" t="s">
        <v>1002</v>
      </c>
      <c r="D998" s="3" t="str">
        <f>T("許添鳳")</f>
        <v>許添鳳</v>
      </c>
      <c r="E998" s="3" t="str">
        <f>T("上海科教")</f>
        <v>上海科教</v>
      </c>
      <c r="F998" s="3">
        <v>18</v>
      </c>
      <c r="G998" s="3">
        <v>108</v>
      </c>
    </row>
    <row r="999" spans="1:7" ht="14.25">
      <c r="A999" s="3" t="str">
        <f>T("53239698")</f>
        <v>53239698</v>
      </c>
      <c r="B999" s="14" t="s">
        <v>5216</v>
      </c>
      <c r="C999" s="3" t="s">
        <v>1003</v>
      </c>
      <c r="D999" s="3" t="str">
        <f>T("編委")</f>
        <v>編委</v>
      </c>
      <c r="E999" s="3" t="str">
        <f>T("上海科技")</f>
        <v>上海科技</v>
      </c>
      <c r="F999" s="3">
        <v>320</v>
      </c>
      <c r="G999" s="3">
        <v>1920</v>
      </c>
    </row>
    <row r="1000" spans="1:7" ht="14.25">
      <c r="A1000" s="3" t="str">
        <f>T("53239699")</f>
        <v>53239699</v>
      </c>
      <c r="B1000" s="14" t="s">
        <v>5219</v>
      </c>
      <c r="C1000" s="3" t="s">
        <v>1004</v>
      </c>
      <c r="D1000" s="3" t="str">
        <f>T("編委")</f>
        <v>編委</v>
      </c>
      <c r="E1000" s="3" t="str">
        <f>T("上海科技")</f>
        <v>上海科技</v>
      </c>
      <c r="F1000" s="3">
        <v>320</v>
      </c>
      <c r="G1000" s="3">
        <v>1920</v>
      </c>
    </row>
    <row r="1001" spans="1:7" ht="14.25">
      <c r="A1001" s="3" t="str">
        <f>T("53239764")</f>
        <v>53239764</v>
      </c>
      <c r="B1001" s="14" t="s">
        <v>5221</v>
      </c>
      <c r="C1001" s="3" t="s">
        <v>1005</v>
      </c>
      <c r="D1001" s="3" t="str">
        <f>T("何任")</f>
        <v>何任</v>
      </c>
      <c r="E1001" s="3" t="str">
        <f>T("上海科技")</f>
        <v>上海科技</v>
      </c>
      <c r="F1001" s="3">
        <v>23</v>
      </c>
      <c r="G1001" s="3">
        <v>138</v>
      </c>
    </row>
    <row r="1002" spans="1:7" ht="14.25">
      <c r="A1002" s="3" t="str">
        <f>T("53252467")</f>
        <v>53252467</v>
      </c>
      <c r="B1002" s="14" t="s">
        <v>5224</v>
      </c>
      <c r="C1002" s="3" t="s">
        <v>1006</v>
      </c>
      <c r="D1002" s="3" t="str">
        <f>T("曹明綱")</f>
        <v>曹明綱</v>
      </c>
      <c r="E1002" s="3" t="str">
        <f>T("上海古籍")</f>
        <v>上海古籍</v>
      </c>
      <c r="F1002" s="3">
        <v>35</v>
      </c>
      <c r="G1002" s="3">
        <v>210</v>
      </c>
    </row>
    <row r="1003" spans="1:7" ht="14.25">
      <c r="A1003" s="3" t="str">
        <f>T("53252715")</f>
        <v>53252715</v>
      </c>
      <c r="B1003" s="14" t="s">
        <v>5228</v>
      </c>
      <c r="C1003" s="3" t="s">
        <v>1007</v>
      </c>
      <c r="D1003" s="3" t="str">
        <f>T("傅成 校點")</f>
        <v>傅成 校點</v>
      </c>
      <c r="E1003" s="3" t="str">
        <f>T("上海古籍")</f>
        <v>上海古籍</v>
      </c>
      <c r="F1003" s="3">
        <v>24.7</v>
      </c>
      <c r="G1003" s="3">
        <v>148</v>
      </c>
    </row>
    <row r="1004" spans="1:7" ht="14.25">
      <c r="A1004" s="3" t="str">
        <f>T("53252933")</f>
        <v>53252933</v>
      </c>
      <c r="B1004" s="14" t="s">
        <v>5231</v>
      </c>
      <c r="C1004" s="3" t="s">
        <v>1008</v>
      </c>
      <c r="D1004" s="3" t="str">
        <f>T("王小鷹")</f>
        <v>王小鷹</v>
      </c>
      <c r="E1004" s="3" t="str">
        <f>T("上海古籍")</f>
        <v>上海古籍</v>
      </c>
      <c r="F1004" s="3">
        <v>23.4</v>
      </c>
      <c r="G1004" s="3">
        <v>140</v>
      </c>
    </row>
    <row r="1005" spans="1:7" ht="14.25">
      <c r="A1005" s="3" t="str">
        <f>T("53253875")</f>
        <v>53253875</v>
      </c>
      <c r="B1005" s="14" t="s">
        <v>5238</v>
      </c>
      <c r="C1005" s="3" t="s">
        <v>1009</v>
      </c>
      <c r="D1005" s="3" t="str">
        <f>T("劉明今")</f>
        <v>劉明今</v>
      </c>
      <c r="E1005" s="3" t="str">
        <f>T("上海古籍")</f>
        <v>上海古籍</v>
      </c>
      <c r="F1005" s="3">
        <v>30</v>
      </c>
      <c r="G1005" s="3">
        <v>180</v>
      </c>
    </row>
    <row r="1006" spans="1:7" ht="14.25">
      <c r="A1006" s="3" t="str">
        <f>T("53253960")</f>
        <v>53253960</v>
      </c>
      <c r="B1006" s="14" t="s">
        <v>5241</v>
      </c>
      <c r="C1006" s="3" t="s">
        <v>1010</v>
      </c>
      <c r="D1006" s="3" t="str">
        <f>T("胡傳志")</f>
        <v>胡傳志</v>
      </c>
      <c r="E1006" s="3" t="str">
        <f>T("上海古籍")</f>
        <v>上海古籍</v>
      </c>
      <c r="F1006" s="3">
        <v>25</v>
      </c>
      <c r="G1006" s="3">
        <v>150</v>
      </c>
    </row>
    <row r="1007" spans="1:7" ht="14.25">
      <c r="A1007" s="3" t="str">
        <f>T("53254017")</f>
        <v>53254017</v>
      </c>
      <c r="B1007" s="14" t="s">
        <v>5244</v>
      </c>
      <c r="C1007" s="3" t="s">
        <v>1011</v>
      </c>
      <c r="D1007" s="3" t="str">
        <f>T("李妙根")</f>
        <v>李妙根</v>
      </c>
      <c r="E1007" s="3" t="str">
        <f>T("上海古籍")</f>
        <v>上海古籍</v>
      </c>
      <c r="F1007" s="3"/>
      <c r="G1007" s="3">
        <v>70</v>
      </c>
    </row>
    <row r="1008" spans="1:7" ht="14.25">
      <c r="A1008" s="3" t="str">
        <f>T("53254034")</f>
        <v>53254034</v>
      </c>
      <c r="B1008" s="14" t="s">
        <v>5247</v>
      </c>
      <c r="C1008" s="3" t="s">
        <v>1012</v>
      </c>
      <c r="D1008" s="3" t="str">
        <f>T("王曉玉")</f>
        <v>王曉玉</v>
      </c>
      <c r="E1008" s="3" t="str">
        <f>T("上海古籍")</f>
        <v>上海古籍</v>
      </c>
      <c r="F1008" s="3">
        <v>35</v>
      </c>
      <c r="G1008" s="3">
        <v>210</v>
      </c>
    </row>
    <row r="1009" spans="1:7" ht="14.25">
      <c r="A1009" s="3" t="str">
        <f>T("53254069")</f>
        <v>53254069</v>
      </c>
      <c r="B1009" s="14" t="s">
        <v>5250</v>
      </c>
      <c r="C1009" s="3" t="s">
        <v>1013</v>
      </c>
      <c r="D1009" s="3" t="str">
        <f>T("李熾昌")</f>
        <v>李熾昌</v>
      </c>
      <c r="E1009" s="3" t="str">
        <f>T("上海古籍")</f>
        <v>上海古籍</v>
      </c>
      <c r="F1009" s="3">
        <v>35</v>
      </c>
      <c r="G1009" s="3">
        <v>210</v>
      </c>
    </row>
    <row r="1010" spans="1:7" ht="14.25">
      <c r="A1010" s="3" t="str">
        <f>T("53254267")</f>
        <v>53254267</v>
      </c>
      <c r="B1010" s="14" t="s">
        <v>5253</v>
      </c>
      <c r="C1010" s="3" t="s">
        <v>1014</v>
      </c>
      <c r="D1010" s="3" t="str">
        <f>T("高瑞泉")</f>
        <v>高瑞泉</v>
      </c>
      <c r="E1010" s="3" t="str">
        <f>T("上海古籍")</f>
        <v>上海古籍</v>
      </c>
      <c r="F1010" s="3">
        <v>18</v>
      </c>
      <c r="G1010" s="3">
        <v>108</v>
      </c>
    </row>
    <row r="1011" spans="1:7" ht="14.25">
      <c r="A1011" s="3" t="str">
        <f>T("53254290")</f>
        <v>53254290</v>
      </c>
      <c r="B1011" s="14" t="s">
        <v>5256</v>
      </c>
      <c r="C1011" s="3" t="s">
        <v>1015</v>
      </c>
      <c r="D1011" s="3" t="str">
        <f>T("傅為群")</f>
        <v>傅為群</v>
      </c>
      <c r="E1011" s="3" t="str">
        <f>T("上海古籍")</f>
        <v>上海古籍</v>
      </c>
      <c r="F1011" s="3">
        <v>68</v>
      </c>
      <c r="G1011" s="3">
        <v>408</v>
      </c>
    </row>
    <row r="1012" spans="1:7" ht="14.25">
      <c r="A1012" s="3" t="str">
        <f>T("53254361")</f>
        <v>53254361</v>
      </c>
      <c r="B1012" s="14" t="s">
        <v>5259</v>
      </c>
      <c r="C1012" s="3" t="s">
        <v>1016</v>
      </c>
      <c r="D1012" s="3" t="str">
        <f>T("劉正剛")</f>
        <v>劉正剛</v>
      </c>
      <c r="E1012" s="3" t="str">
        <f>T("上海古籍")</f>
        <v>上海古籍</v>
      </c>
      <c r="F1012" s="3">
        <v>38</v>
      </c>
      <c r="G1012" s="3">
        <v>228</v>
      </c>
    </row>
    <row r="1013" spans="1:7" ht="14.25">
      <c r="A1013" s="3" t="str">
        <f>T("53254387")</f>
        <v>53254387</v>
      </c>
      <c r="B1013" s="14" t="s">
        <v>5262</v>
      </c>
      <c r="C1013" s="3" t="s">
        <v>1017</v>
      </c>
      <c r="D1013" s="3" t="str">
        <f>T("(清)潘祖蔭")</f>
        <v>(清)潘祖蔭</v>
      </c>
      <c r="E1013" s="3" t="str">
        <f>T("上海古籍")</f>
        <v>上海古籍</v>
      </c>
      <c r="F1013" s="3">
        <v>28</v>
      </c>
      <c r="G1013" s="3">
        <v>168</v>
      </c>
    </row>
    <row r="1014" spans="1:7" ht="14.25">
      <c r="A1014" s="3" t="str">
        <f>T("53254605")</f>
        <v>53254605</v>
      </c>
      <c r="B1014" s="14" t="s">
        <v>5265</v>
      </c>
      <c r="C1014" s="3" t="s">
        <v>1018</v>
      </c>
      <c r="D1014" s="3" t="str">
        <f>T("韓維志")</f>
        <v>韓維志</v>
      </c>
      <c r="E1014" s="3" t="str">
        <f>T("上海古籍")</f>
        <v>上海古籍</v>
      </c>
      <c r="F1014" s="3">
        <v>26</v>
      </c>
      <c r="G1014" s="3">
        <v>156</v>
      </c>
    </row>
    <row r="1015" spans="1:7" ht="14.25">
      <c r="A1015" s="3" t="str">
        <f>T("53254701")</f>
        <v>53254701</v>
      </c>
      <c r="B1015" s="14" t="s">
        <v>5268</v>
      </c>
      <c r="C1015" s="3" t="s">
        <v>1019</v>
      </c>
      <c r="D1015" s="3" t="str">
        <f>T("林繼中")</f>
        <v>林繼中</v>
      </c>
      <c r="E1015" s="3" t="str">
        <f>T("上海古籍")</f>
        <v>上海古籍</v>
      </c>
      <c r="F1015" s="3">
        <v>24</v>
      </c>
      <c r="G1015" s="3">
        <v>144</v>
      </c>
    </row>
    <row r="1016" spans="1:7" ht="14.25">
      <c r="A1016" s="3" t="str">
        <f>T("53254779")</f>
        <v>53254779</v>
      </c>
      <c r="B1016" s="14" t="s">
        <v>5271</v>
      </c>
      <c r="C1016" s="3" t="s">
        <v>1020</v>
      </c>
      <c r="D1016" s="3" t="str">
        <f>T("王肇")</f>
        <v>王肇</v>
      </c>
      <c r="E1016" s="3" t="str">
        <f>T("上海古籍")</f>
        <v>上海古籍</v>
      </c>
      <c r="F1016" s="3">
        <v>21</v>
      </c>
      <c r="G1016" s="3">
        <v>126</v>
      </c>
    </row>
    <row r="1017" spans="1:7" ht="14.25">
      <c r="A1017" s="3" t="str">
        <f>T("53254920")</f>
        <v>53254920</v>
      </c>
      <c r="B1017" s="14" t="s">
        <v>5274</v>
      </c>
      <c r="C1017" s="3" t="s">
        <v>1021</v>
      </c>
      <c r="D1017" s="3" t="str">
        <f>T("章國慶")</f>
        <v>章國慶</v>
      </c>
      <c r="E1017" s="3" t="str">
        <f>T("上海古籍")</f>
        <v>上海古籍</v>
      </c>
      <c r="F1017" s="3">
        <v>65</v>
      </c>
      <c r="G1017" s="3">
        <v>390</v>
      </c>
    </row>
    <row r="1018" spans="1:7" ht="14.25">
      <c r="A1018" s="3" t="str">
        <f>T("53254928")</f>
        <v>53254928</v>
      </c>
      <c r="B1018" s="14" t="s">
        <v>5277</v>
      </c>
      <c r="C1018" s="3" t="s">
        <v>1022</v>
      </c>
      <c r="D1018" s="3" t="str">
        <f>T("閔豐")</f>
        <v>閔豐</v>
      </c>
      <c r="E1018" s="3" t="str">
        <f>T("上海古籍")</f>
        <v>上海古籍</v>
      </c>
      <c r="F1018" s="3">
        <v>39</v>
      </c>
      <c r="G1018" s="3">
        <v>234</v>
      </c>
    </row>
    <row r="1019" spans="1:7" ht="14.25">
      <c r="A1019" s="3" t="str">
        <f>T("53254939")</f>
        <v>53254939</v>
      </c>
      <c r="B1019" s="14" t="s">
        <v>5280</v>
      </c>
      <c r="C1019" s="3" t="s">
        <v>1023</v>
      </c>
      <c r="D1019" s="3" t="str">
        <f>T("沙先一")</f>
        <v>沙先一</v>
      </c>
      <c r="E1019" s="3" t="str">
        <f>T("上海古籍")</f>
        <v>上海古籍</v>
      </c>
      <c r="F1019" s="3">
        <v>39</v>
      </c>
      <c r="G1019" s="3">
        <v>234</v>
      </c>
    </row>
    <row r="1020" spans="1:7" ht="14.25">
      <c r="A1020" s="3" t="str">
        <f>T("53254943")</f>
        <v>53254943</v>
      </c>
      <c r="B1020" s="14" t="s">
        <v>5283</v>
      </c>
      <c r="C1020" s="3" t="s">
        <v>1024</v>
      </c>
      <c r="D1020" s="3" t="str">
        <f>T("程水龍")</f>
        <v>程水龍</v>
      </c>
      <c r="E1020" s="3" t="str">
        <f>T("上海古籍")</f>
        <v>上海古籍</v>
      </c>
      <c r="F1020" s="3">
        <v>59</v>
      </c>
      <c r="G1020" s="3">
        <v>354</v>
      </c>
    </row>
    <row r="1021" spans="1:7" ht="14.25">
      <c r="A1021" s="3" t="str">
        <f>T("53254957")</f>
        <v>53254957</v>
      </c>
      <c r="B1021" s="14" t="s">
        <v>5286</v>
      </c>
      <c r="C1021" s="3" t="s">
        <v>1025</v>
      </c>
      <c r="D1021" s="3" t="str">
        <f>T("趙昌平")</f>
        <v>趙昌平</v>
      </c>
      <c r="E1021" s="3" t="str">
        <f>T("上海古籍")</f>
        <v>上海古籍</v>
      </c>
      <c r="F1021" s="3">
        <v>19</v>
      </c>
      <c r="G1021" s="3">
        <v>114</v>
      </c>
    </row>
    <row r="1022" spans="1:7" ht="14.25">
      <c r="A1022" s="3" t="str">
        <f>T("53254958")</f>
        <v>53254958</v>
      </c>
      <c r="B1022" s="14" t="s">
        <v>5289</v>
      </c>
      <c r="C1022" s="3" t="s">
        <v>1026</v>
      </c>
      <c r="D1022" s="3" t="str">
        <f>T("馮紹霆")</f>
        <v>馮紹霆</v>
      </c>
      <c r="E1022" s="3" t="str">
        <f>T("上海古籍")</f>
        <v>上海古籍</v>
      </c>
      <c r="F1022" s="3">
        <v>19</v>
      </c>
      <c r="G1022" s="3">
        <v>114</v>
      </c>
    </row>
    <row r="1023" spans="1:7" ht="14.25">
      <c r="A1023" s="3" t="str">
        <f>T("53254960")</f>
        <v>53254960</v>
      </c>
      <c r="B1023" s="14" t="s">
        <v>5292</v>
      </c>
      <c r="C1023" s="3" t="s">
        <v>1027</v>
      </c>
      <c r="D1023" s="3" t="str">
        <f>T("王興康")</f>
        <v>王興康</v>
      </c>
      <c r="E1023" s="3" t="str">
        <f>T("上海古籍")</f>
        <v>上海古籍</v>
      </c>
      <c r="F1023" s="3">
        <v>24</v>
      </c>
      <c r="G1023" s="3">
        <v>144</v>
      </c>
    </row>
    <row r="1024" spans="1:7" ht="14.25">
      <c r="A1024" s="3" t="str">
        <f>T("53255018")</f>
        <v>53255018</v>
      </c>
      <c r="B1024" s="14" t="s">
        <v>5295</v>
      </c>
      <c r="C1024" s="3" t="s">
        <v>1028</v>
      </c>
      <c r="D1024" s="3" t="str">
        <f>T("夢寒生")</f>
        <v>夢寒生</v>
      </c>
      <c r="E1024" s="3" t="str">
        <f>T("上海古籍")</f>
        <v>上海古籍</v>
      </c>
      <c r="F1024" s="3">
        <v>28</v>
      </c>
      <c r="G1024" s="3">
        <v>168</v>
      </c>
    </row>
    <row r="1025" spans="1:7" ht="14.25">
      <c r="A1025" s="3" t="str">
        <f>T("53255085")</f>
        <v>53255085</v>
      </c>
      <c r="B1025" s="14" t="s">
        <v>5298</v>
      </c>
      <c r="C1025" s="3" t="s">
        <v>1029</v>
      </c>
      <c r="D1025" s="3" t="str">
        <f>T("李丹")</f>
        <v>李丹</v>
      </c>
      <c r="E1025" s="3" t="str">
        <f>T("上海古籍")</f>
        <v>上海古籍</v>
      </c>
      <c r="F1025" s="3">
        <v>38</v>
      </c>
      <c r="G1025" s="3">
        <v>228</v>
      </c>
    </row>
    <row r="1026" spans="1:7" ht="14.25">
      <c r="A1026" s="3" t="str">
        <f>T("53255091")</f>
        <v>53255091</v>
      </c>
      <c r="B1026" s="14" t="s">
        <v>5301</v>
      </c>
      <c r="C1026" s="3" t="s">
        <v>1030</v>
      </c>
      <c r="D1026" s="3" t="str">
        <f>T("焦桂美")</f>
        <v>焦桂美</v>
      </c>
      <c r="E1026" s="3" t="str">
        <f>T("上海古籍")</f>
        <v>上海古籍</v>
      </c>
      <c r="F1026" s="3">
        <v>66</v>
      </c>
      <c r="G1026" s="3">
        <v>396</v>
      </c>
    </row>
    <row r="1027" spans="1:7" ht="14.25">
      <c r="A1027" s="3" t="str">
        <f>T("53255114")</f>
        <v>53255114</v>
      </c>
      <c r="B1027" s="14" t="s">
        <v>5304</v>
      </c>
      <c r="C1027" s="3" t="s">
        <v>1031</v>
      </c>
      <c r="D1027" s="3" t="str">
        <f>T("陳野")</f>
        <v>陳野</v>
      </c>
      <c r="E1027" s="3" t="str">
        <f>T("上海古籍")</f>
        <v>上海古籍</v>
      </c>
      <c r="F1027" s="3">
        <v>67</v>
      </c>
      <c r="G1027" s="3">
        <v>402</v>
      </c>
    </row>
    <row r="1028" spans="1:7" ht="14.25">
      <c r="A1028" s="3" t="str">
        <f>T("53255118")</f>
        <v>53255118</v>
      </c>
      <c r="B1028" s="14" t="s">
        <v>5307</v>
      </c>
      <c r="C1028" s="3" t="s">
        <v>1032</v>
      </c>
      <c r="D1028" s="3" t="str">
        <f>T("徐宏圖著")</f>
        <v>徐宏圖著</v>
      </c>
      <c r="E1028" s="3" t="str">
        <f>T("上海古籍")</f>
        <v>上海古籍</v>
      </c>
      <c r="F1028" s="3">
        <v>72</v>
      </c>
      <c r="G1028" s="3">
        <v>432</v>
      </c>
    </row>
    <row r="1029" spans="1:7" ht="14.25">
      <c r="A1029" s="3" t="str">
        <f>T("53255298")</f>
        <v>53255298</v>
      </c>
      <c r="B1029" s="14" t="s">
        <v>5310</v>
      </c>
      <c r="C1029" s="3" t="s">
        <v>1033</v>
      </c>
      <c r="D1029" s="3" t="str">
        <f>T("孫啟治")</f>
        <v>孫啟治</v>
      </c>
      <c r="E1029" s="3" t="str">
        <f>T("上海古籍")</f>
        <v>上海古籍</v>
      </c>
      <c r="F1029" s="3">
        <v>88</v>
      </c>
      <c r="G1029" s="3">
        <v>528</v>
      </c>
    </row>
    <row r="1030" spans="1:7" ht="14.25">
      <c r="A1030" s="3" t="str">
        <f>T("53255305")</f>
        <v>53255305</v>
      </c>
      <c r="B1030" s="14" t="s">
        <v>5313</v>
      </c>
      <c r="C1030" s="3" t="s">
        <v>1034</v>
      </c>
      <c r="D1030" s="3" t="str">
        <f>T("餘意")</f>
        <v>餘意</v>
      </c>
      <c r="E1030" s="3" t="str">
        <f>T("上海古籍")</f>
        <v>上海古籍</v>
      </c>
      <c r="F1030" s="3">
        <v>48</v>
      </c>
      <c r="G1030" s="3">
        <v>288</v>
      </c>
    </row>
    <row r="1031" spans="1:7" ht="14.25">
      <c r="A1031" s="3" t="str">
        <f>T("53255372")</f>
        <v>53255372</v>
      </c>
      <c r="B1031" s="14" t="s">
        <v>5316</v>
      </c>
      <c r="C1031" s="3" t="s">
        <v>1035</v>
      </c>
      <c r="D1031" s="3" t="str">
        <f>T("孫虹")</f>
        <v>孫虹</v>
      </c>
      <c r="E1031" s="3" t="str">
        <f>T("上海古籍")</f>
        <v>上海古籍</v>
      </c>
      <c r="F1031" s="3">
        <v>42</v>
      </c>
      <c r="G1031" s="3">
        <v>252</v>
      </c>
    </row>
    <row r="1032" spans="1:7" ht="14.25">
      <c r="A1032" s="3" t="str">
        <f>T("53255383")</f>
        <v>53255383</v>
      </c>
      <c r="B1032" s="14" t="s">
        <v>5319</v>
      </c>
      <c r="C1032" s="3" t="s">
        <v>1036</v>
      </c>
      <c r="D1032" s="3" t="str">
        <f>T("鍾鳴旦")</f>
        <v>鍾鳴旦</v>
      </c>
      <c r="E1032" s="3" t="str">
        <f>T("上海古籍")</f>
        <v>上海古籍</v>
      </c>
      <c r="F1032" s="3">
        <v>38</v>
      </c>
      <c r="G1032" s="3">
        <v>228</v>
      </c>
    </row>
    <row r="1033" spans="1:7" ht="14.25">
      <c r="A1033" s="3" t="str">
        <f>T("53255399")</f>
        <v>53255399</v>
      </c>
      <c r="B1033" s="14" t="s">
        <v>5322</v>
      </c>
      <c r="C1033" s="3" t="s">
        <v>1037</v>
      </c>
      <c r="D1033" s="3" t="str">
        <f>T("張覺")</f>
        <v>張覺</v>
      </c>
      <c r="E1033" s="3" t="str">
        <f>T("上海古籍")</f>
        <v>上海古籍</v>
      </c>
      <c r="F1033" s="3">
        <v>20</v>
      </c>
      <c r="G1033" s="3">
        <v>120</v>
      </c>
    </row>
    <row r="1034" spans="1:7" ht="14.25">
      <c r="A1034" s="3" t="str">
        <f>T("53255405")</f>
        <v>53255405</v>
      </c>
      <c r="B1034" s="14" t="s">
        <v>5325</v>
      </c>
      <c r="C1034" s="3" t="s">
        <v>1038</v>
      </c>
      <c r="D1034" s="3" t="str">
        <f>T("李志名")</f>
        <v>李志名</v>
      </c>
      <c r="E1034" s="3" t="str">
        <f>T("上海古籍")</f>
        <v>上海古籍</v>
      </c>
      <c r="F1034" s="3">
        <v>35</v>
      </c>
      <c r="G1034" s="3">
        <v>210</v>
      </c>
    </row>
    <row r="1035" spans="1:7" ht="14.25">
      <c r="A1035" s="3" t="str">
        <f>T("53255412")</f>
        <v>53255412</v>
      </c>
      <c r="B1035" s="14" t="s">
        <v>5328</v>
      </c>
      <c r="C1035" s="3" t="s">
        <v>1039</v>
      </c>
      <c r="D1035" s="3" t="str">
        <f>T("武漢大學簡帛研究中心")</f>
        <v>武漢大學簡帛研究中心</v>
      </c>
      <c r="E1035" s="3" t="str">
        <f>T("上海古籍")</f>
        <v>上海古籍</v>
      </c>
      <c r="F1035" s="3">
        <v>98</v>
      </c>
      <c r="G1035" s="3">
        <v>588</v>
      </c>
    </row>
    <row r="1036" spans="1:7" ht="14.25">
      <c r="A1036" s="3" t="str">
        <f>T("53255441")</f>
        <v>53255441</v>
      </c>
      <c r="B1036" s="14" t="s">
        <v>5331</v>
      </c>
      <c r="C1036" s="3" t="s">
        <v>1040</v>
      </c>
      <c r="D1036" s="3" t="str">
        <f>T("楊明. 著")</f>
        <v>楊明. 著</v>
      </c>
      <c r="E1036" s="3" t="str">
        <f>T("上海古籍")</f>
        <v>上海古籍</v>
      </c>
      <c r="F1036" s="3">
        <v>48</v>
      </c>
      <c r="G1036" s="3">
        <v>288</v>
      </c>
    </row>
    <row r="1037" spans="1:7" ht="14.25">
      <c r="A1037" s="3" t="str">
        <f>T("53255512")</f>
        <v>53255512</v>
      </c>
      <c r="B1037" s="14" t="s">
        <v>5334</v>
      </c>
      <c r="C1037" s="3" t="s">
        <v>1041</v>
      </c>
      <c r="D1037" s="3" t="str">
        <f>T("陳多")</f>
        <v>陳多</v>
      </c>
      <c r="E1037" s="3" t="str">
        <f>T("上海古籍")</f>
        <v>上海古籍</v>
      </c>
      <c r="F1037" s="3">
        <v>58</v>
      </c>
      <c r="G1037" s="3">
        <v>348</v>
      </c>
    </row>
    <row r="1038" spans="1:7" ht="14.25">
      <c r="A1038" s="3" t="str">
        <f>T("53255537")</f>
        <v>53255537</v>
      </c>
      <c r="B1038" s="14" t="s">
        <v>5337</v>
      </c>
      <c r="C1038" s="3" t="s">
        <v>1042</v>
      </c>
      <c r="D1038" s="3" t="str">
        <f>T("弋春源著")</f>
        <v>弋春源著</v>
      </c>
      <c r="E1038" s="3" t="str">
        <f>T("上海古籍")</f>
        <v>上海古籍</v>
      </c>
      <c r="F1038" s="3">
        <v>25</v>
      </c>
      <c r="G1038" s="3">
        <v>150</v>
      </c>
    </row>
    <row r="1039" spans="1:7" ht="14.25">
      <c r="A1039" s="3" t="str">
        <f>T("53255544")</f>
        <v>53255544</v>
      </c>
      <c r="B1039" s="14" t="s">
        <v>5340</v>
      </c>
      <c r="C1039" s="3" t="s">
        <v>1043</v>
      </c>
      <c r="D1039" s="3" t="str">
        <f>T("王煒. 著")</f>
        <v>王煒. 著</v>
      </c>
      <c r="E1039" s="3" t="str">
        <f>T("上海古籍")</f>
        <v>上海古籍</v>
      </c>
      <c r="F1039" s="3">
        <v>38</v>
      </c>
      <c r="G1039" s="3">
        <v>228</v>
      </c>
    </row>
    <row r="1040" spans="1:7" ht="14.25">
      <c r="A1040" s="3" t="str">
        <f>T("53255582")</f>
        <v>53255582</v>
      </c>
      <c r="B1040" s="14" t="s">
        <v>5343</v>
      </c>
      <c r="C1040" s="3" t="s">
        <v>1044</v>
      </c>
      <c r="D1040" s="3" t="str">
        <f>T("孫國棟撰")</f>
        <v>孫國棟撰</v>
      </c>
      <c r="E1040" s="3" t="str">
        <f>T("上海古籍")</f>
        <v>上海古籍</v>
      </c>
      <c r="F1040" s="3">
        <v>48</v>
      </c>
      <c r="G1040" s="3">
        <v>288</v>
      </c>
    </row>
    <row r="1041" spans="1:7" ht="14.25">
      <c r="A1041" s="3" t="str">
        <f>T("53255616")</f>
        <v>53255616</v>
      </c>
      <c r="B1041" s="14" t="s">
        <v>5346</v>
      </c>
      <c r="C1041" s="3" t="s">
        <v>1045</v>
      </c>
      <c r="D1041" s="3" t="str">
        <f>T("邵毅平")</f>
        <v>邵毅平</v>
      </c>
      <c r="E1041" s="3" t="str">
        <f>T("上海古籍")</f>
        <v>上海古籍</v>
      </c>
      <c r="F1041" s="3">
        <v>35</v>
      </c>
      <c r="G1041" s="3">
        <v>210</v>
      </c>
    </row>
    <row r="1042" spans="1:7" ht="14.25">
      <c r="A1042" s="3" t="str">
        <f>T("53255687")</f>
        <v>53255687</v>
      </c>
      <c r="B1042" s="14" t="s">
        <v>5349</v>
      </c>
      <c r="C1042" s="3" t="s">
        <v>1046</v>
      </c>
      <c r="D1042" s="3" t="str">
        <f>T("楊建華著")</f>
        <v>楊建華著</v>
      </c>
      <c r="E1042" s="3" t="str">
        <f>T("上海古籍")</f>
        <v>上海古籍</v>
      </c>
      <c r="F1042" s="3">
        <v>58</v>
      </c>
      <c r="G1042" s="3">
        <v>348</v>
      </c>
    </row>
    <row r="1043" spans="1:7" ht="14.25">
      <c r="A1043" s="3" t="str">
        <f>T("53256056")</f>
        <v>53256056</v>
      </c>
      <c r="B1043" s="14" t="s">
        <v>5352</v>
      </c>
      <c r="C1043" s="3" t="s">
        <v>1047</v>
      </c>
      <c r="D1043" s="3" t="str">
        <f>T("馮沅君")</f>
        <v>馮沅君</v>
      </c>
      <c r="E1043" s="3" t="str">
        <f>T("上海古籍")</f>
        <v>上海古籍</v>
      </c>
      <c r="F1043" s="3">
        <v>45</v>
      </c>
      <c r="G1043" s="3">
        <v>270</v>
      </c>
    </row>
    <row r="1044" spans="1:7" ht="14.25">
      <c r="A1044" s="3" t="str">
        <f>T("53262199")</f>
        <v>53262199</v>
      </c>
      <c r="B1044" s="14" t="s">
        <v>5355</v>
      </c>
      <c r="C1044" s="3" t="s">
        <v>1048</v>
      </c>
      <c r="D1044" s="3" t="str">
        <f>T("邢建榕")</f>
        <v>邢建榕</v>
      </c>
      <c r="E1044" s="3" t="str">
        <f>T("上海辭書")</f>
        <v>上海辭書</v>
      </c>
      <c r="F1044" s="3">
        <v>28</v>
      </c>
      <c r="G1044" s="3">
        <v>168</v>
      </c>
    </row>
    <row r="1045" spans="1:7" ht="14.25">
      <c r="A1045" s="3" t="str">
        <f>T("53262897")</f>
        <v>53262897</v>
      </c>
      <c r="B1045" s="14" t="s">
        <v>5359</v>
      </c>
      <c r="C1045" s="3" t="s">
        <v>1049</v>
      </c>
      <c r="D1045" s="3" t="str">
        <f>T("鄧球柏")</f>
        <v>鄧球柏</v>
      </c>
      <c r="E1045" s="3" t="str">
        <f>T("上海辭書")</f>
        <v>上海辭書</v>
      </c>
      <c r="F1045" s="3">
        <v>18</v>
      </c>
      <c r="G1045" s="3">
        <v>108</v>
      </c>
    </row>
    <row r="1046" spans="1:7" ht="14.25">
      <c r="A1046" s="3" t="str">
        <f>T("53263017")</f>
        <v>53263017</v>
      </c>
      <c r="B1046" s="14" t="s">
        <v>5362</v>
      </c>
      <c r="C1046" s="3" t="s">
        <v>1050</v>
      </c>
      <c r="D1046" s="3" t="str">
        <f>T("梁志偉")</f>
        <v>梁志偉</v>
      </c>
      <c r="E1046" s="3" t="str">
        <f>T("上海辭書")</f>
        <v>上海辭書</v>
      </c>
      <c r="F1046" s="3">
        <v>38</v>
      </c>
      <c r="G1046" s="3">
        <v>228</v>
      </c>
    </row>
    <row r="1047" spans="1:7" ht="14.25">
      <c r="A1047" s="3" t="str">
        <f>T("53263158")</f>
        <v>53263158</v>
      </c>
      <c r="B1047" s="14" t="s">
        <v>5365</v>
      </c>
      <c r="C1047" s="3" t="s">
        <v>1051</v>
      </c>
      <c r="D1047" s="3" t="str">
        <f>T("朱貽庭")</f>
        <v>朱貽庭</v>
      </c>
      <c r="E1047" s="3" t="str">
        <f>T("上海辭書")</f>
        <v>上海辭書</v>
      </c>
      <c r="F1047" s="3">
        <v>32</v>
      </c>
      <c r="G1047" s="3">
        <v>192</v>
      </c>
    </row>
    <row r="1048" spans="1:7" ht="14.25">
      <c r="A1048" s="3" t="str">
        <f>T("53273738")</f>
        <v>53273738</v>
      </c>
      <c r="B1048" s="14" t="s">
        <v>5368</v>
      </c>
      <c r="C1048" s="3" t="s">
        <v>1052</v>
      </c>
      <c r="D1048" s="3" t="str">
        <f>T("謝昭新")</f>
        <v>謝昭新</v>
      </c>
      <c r="E1048" s="3">
        <f>T("")</f>
      </c>
      <c r="F1048" s="3"/>
      <c r="G1048" s="3">
        <v>75</v>
      </c>
    </row>
    <row r="1049" spans="1:7" ht="14.25">
      <c r="A1049" s="3" t="str">
        <f>T("53273739")</f>
        <v>53273739</v>
      </c>
      <c r="B1049" s="14" t="s">
        <v>2236</v>
      </c>
      <c r="C1049" s="3" t="s">
        <v>1053</v>
      </c>
      <c r="D1049" s="3" t="str">
        <f>T("沈伯俊")</f>
        <v>沈伯俊</v>
      </c>
      <c r="E1049" s="3">
        <f>T("")</f>
      </c>
      <c r="F1049" s="3"/>
      <c r="G1049" s="3">
        <v>95</v>
      </c>
    </row>
    <row r="1050" spans="1:7" ht="14.25">
      <c r="A1050" s="3" t="str">
        <f>T("53273740")</f>
        <v>53273740</v>
      </c>
      <c r="B1050" s="14" t="s">
        <v>5373</v>
      </c>
      <c r="C1050" s="3" t="s">
        <v>1054</v>
      </c>
      <c r="D1050" s="3" t="str">
        <f>T("沈伯俊")</f>
        <v>沈伯俊</v>
      </c>
      <c r="E1050" s="3">
        <f>T("")</f>
      </c>
      <c r="F1050" s="3"/>
      <c r="G1050" s="3">
        <v>75</v>
      </c>
    </row>
    <row r="1051" spans="1:7" ht="14.25">
      <c r="A1051" s="3" t="str">
        <f>T("53274865")</f>
        <v>53274865</v>
      </c>
      <c r="B1051" s="14" t="s">
        <v>5375</v>
      </c>
      <c r="C1051" s="3" t="s">
        <v>1055</v>
      </c>
      <c r="D1051" s="3" t="str">
        <f>T("克羅斯")</f>
        <v>克羅斯</v>
      </c>
      <c r="E1051" s="3" t="str">
        <f>T("世紀文景")</f>
        <v>世紀文景</v>
      </c>
      <c r="F1051" s="3">
        <v>30</v>
      </c>
      <c r="G1051" s="3">
        <v>180</v>
      </c>
    </row>
    <row r="1052" spans="1:7" ht="14.25">
      <c r="A1052" s="3" t="str">
        <f>T("53274880")</f>
        <v>53274880</v>
      </c>
      <c r="B1052" s="14" t="s">
        <v>5378</v>
      </c>
      <c r="C1052" s="3" t="s">
        <v>1056</v>
      </c>
      <c r="D1052" s="3" t="str">
        <f>T("佩特裏納")</f>
        <v>佩特裏納</v>
      </c>
      <c r="E1052" s="3" t="str">
        <f>T("世紀文景")</f>
        <v>世紀文景</v>
      </c>
      <c r="F1052" s="3">
        <v>30</v>
      </c>
      <c r="G1052" s="3">
        <v>180</v>
      </c>
    </row>
    <row r="1053" spans="1:7" ht="14.25">
      <c r="A1053" s="3" t="str">
        <f>T("53286800")</f>
        <v>53286800</v>
      </c>
      <c r="B1053" s="14" t="s">
        <v>5381</v>
      </c>
      <c r="C1053" s="3" t="s">
        <v>1057</v>
      </c>
      <c r="D1053" s="3" t="str">
        <f>T("施忠連")</f>
        <v>施忠連</v>
      </c>
      <c r="E1053" s="3" t="str">
        <f>T("山東教育")</f>
        <v>山東教育</v>
      </c>
      <c r="F1053" s="3">
        <v>36</v>
      </c>
      <c r="G1053" s="3">
        <v>216</v>
      </c>
    </row>
    <row r="1054" spans="1:7" ht="14.25">
      <c r="A1054" s="3" t="str">
        <f>T("53286802")</f>
        <v>53286802</v>
      </c>
      <c r="B1054" s="14" t="s">
        <v>5385</v>
      </c>
      <c r="C1054" s="3" t="s">
        <v>1058</v>
      </c>
      <c r="D1054" s="3" t="str">
        <f>T("喬清舉")</f>
        <v>喬清舉</v>
      </c>
      <c r="E1054" s="3" t="str">
        <f>T("山東教育")</f>
        <v>山東教育</v>
      </c>
      <c r="F1054" s="3">
        <v>35</v>
      </c>
      <c r="G1054" s="3">
        <v>210</v>
      </c>
    </row>
    <row r="1055" spans="1:7" ht="14.25">
      <c r="A1055" s="3" t="str">
        <f>T("53286803")</f>
        <v>53286803</v>
      </c>
      <c r="B1055" s="14" t="s">
        <v>5388</v>
      </c>
      <c r="C1055" s="3" t="s">
        <v>1059</v>
      </c>
      <c r="D1055" s="3" t="str">
        <f>T("余榮根")</f>
        <v>余榮根</v>
      </c>
      <c r="E1055" s="3" t="str">
        <f>T("山東教育")</f>
        <v>山東教育</v>
      </c>
      <c r="F1055" s="3">
        <v>29</v>
      </c>
      <c r="G1055" s="3">
        <v>174</v>
      </c>
    </row>
    <row r="1056" spans="1:7" ht="14.25">
      <c r="A1056" s="3" t="str">
        <f>T("53286804")</f>
        <v>53286804</v>
      </c>
      <c r="B1056" s="14" t="s">
        <v>5391</v>
      </c>
      <c r="C1056" s="3" t="s">
        <v>1060</v>
      </c>
      <c r="D1056" s="3" t="str">
        <f>T("郭齊家")</f>
        <v>郭齊家</v>
      </c>
      <c r="E1056" s="3" t="str">
        <f>T("山東教育")</f>
        <v>山東教育</v>
      </c>
      <c r="F1056" s="3">
        <v>39</v>
      </c>
      <c r="G1056" s="3">
        <v>234</v>
      </c>
    </row>
    <row r="1057" spans="1:7" ht="14.25">
      <c r="A1057" s="3" t="str">
        <f>T("53286805")</f>
        <v>53286805</v>
      </c>
      <c r="B1057" s="14" t="s">
        <v>5394</v>
      </c>
      <c r="C1057" s="3" t="s">
        <v>1061</v>
      </c>
      <c r="D1057" s="3" t="str">
        <f>T("林存光 侯長安")</f>
        <v>林存光 侯長安</v>
      </c>
      <c r="E1057" s="3" t="str">
        <f>T("山東教育")</f>
        <v>山東教育</v>
      </c>
      <c r="F1057" s="3">
        <v>35</v>
      </c>
      <c r="G1057" s="3">
        <v>210</v>
      </c>
    </row>
    <row r="1058" spans="1:7" ht="14.25">
      <c r="A1058" s="3" t="str">
        <f>T("53301990")</f>
        <v>53301990</v>
      </c>
      <c r="B1058" s="14" t="s">
        <v>5397</v>
      </c>
      <c r="C1058" s="3" t="s">
        <v>1062</v>
      </c>
      <c r="D1058" s="3" t="str">
        <f>T("本社")</f>
        <v>本社</v>
      </c>
      <c r="E1058" s="3" t="str">
        <f>T("山東美術")</f>
        <v>山東美術</v>
      </c>
      <c r="F1058" s="3">
        <v>19.8</v>
      </c>
      <c r="G1058" s="3">
        <v>119</v>
      </c>
    </row>
    <row r="1059" spans="1:7" ht="14.25">
      <c r="A1059" s="3" t="str">
        <f>T("53302012")</f>
        <v>53302012</v>
      </c>
      <c r="B1059" s="14" t="s">
        <v>5400</v>
      </c>
      <c r="C1059" s="3" t="s">
        <v>1063</v>
      </c>
      <c r="D1059" s="3" t="str">
        <f>T("俞瑩")</f>
        <v>俞瑩</v>
      </c>
      <c r="E1059" s="3" t="str">
        <f>T("山東美術")</f>
        <v>山東美術</v>
      </c>
      <c r="F1059" s="3">
        <v>58</v>
      </c>
      <c r="G1059" s="3">
        <v>348</v>
      </c>
    </row>
    <row r="1060" spans="1:7" ht="14.25">
      <c r="A1060" s="3" t="str">
        <f>T("53302119")</f>
        <v>53302119</v>
      </c>
      <c r="B1060" s="14" t="s">
        <v>5403</v>
      </c>
      <c r="C1060" s="3" t="s">
        <v>1064</v>
      </c>
      <c r="D1060" s="3" t="str">
        <f>T("本社")</f>
        <v>本社</v>
      </c>
      <c r="E1060" s="3" t="str">
        <f>T("山東美術")</f>
        <v>山東美術</v>
      </c>
      <c r="F1060" s="3">
        <v>58</v>
      </c>
      <c r="G1060" s="3">
        <v>348</v>
      </c>
    </row>
    <row r="1061" spans="1:7" ht="14.25">
      <c r="A1061" s="3" t="str">
        <f>T("53302120")</f>
        <v>53302120</v>
      </c>
      <c r="B1061" s="14" t="s">
        <v>5405</v>
      </c>
      <c r="C1061" s="3" t="s">
        <v>1065</v>
      </c>
      <c r="D1061" s="3" t="str">
        <f>T("本社")</f>
        <v>本社</v>
      </c>
      <c r="E1061" s="3" t="str">
        <f>T("山東美術")</f>
        <v>山東美術</v>
      </c>
      <c r="F1061" s="3">
        <v>58</v>
      </c>
      <c r="G1061" s="3">
        <v>348</v>
      </c>
    </row>
    <row r="1062" spans="1:7" ht="14.25">
      <c r="A1062" s="3" t="str">
        <f>T("53303110")</f>
        <v>53303110</v>
      </c>
      <c r="B1062" s="14" t="s">
        <v>5407</v>
      </c>
      <c r="C1062" s="3" t="s">
        <v>1066</v>
      </c>
      <c r="D1062" s="3" t="str">
        <f>T("張從軍")</f>
        <v>張從軍</v>
      </c>
      <c r="E1062" s="3" t="str">
        <f>T("山東美術")</f>
        <v>山東美術</v>
      </c>
      <c r="F1062" s="3">
        <v>45</v>
      </c>
      <c r="G1062" s="3">
        <v>270</v>
      </c>
    </row>
    <row r="1063" spans="1:7" ht="14.25">
      <c r="A1063" s="3" t="str">
        <f>T("53326345")</f>
        <v>53326345</v>
      </c>
      <c r="B1063" s="14" t="s">
        <v>5410</v>
      </c>
      <c r="C1063" s="3" t="s">
        <v>1067</v>
      </c>
      <c r="D1063" s="3" t="str">
        <f>T("周銳. 著")</f>
        <v>周銳. 著</v>
      </c>
      <c r="E1063" s="3" t="str">
        <f>T("山東明天")</f>
        <v>山東明天</v>
      </c>
      <c r="F1063" s="3">
        <v>16.8</v>
      </c>
      <c r="G1063" s="3">
        <v>101</v>
      </c>
    </row>
    <row r="1064" spans="1:7" ht="14.25">
      <c r="A1064" s="3" t="str">
        <f>T("53326346")</f>
        <v>53326346</v>
      </c>
      <c r="B1064" s="14" t="s">
        <v>5414</v>
      </c>
      <c r="C1064" s="3" t="s">
        <v>1068</v>
      </c>
      <c r="D1064" s="3" t="str">
        <f>T("周銳. 著")</f>
        <v>周銳. 著</v>
      </c>
      <c r="E1064" s="3" t="str">
        <f>T("山東明天")</f>
        <v>山東明天</v>
      </c>
      <c r="F1064" s="3">
        <v>16.8</v>
      </c>
      <c r="G1064" s="3">
        <v>101</v>
      </c>
    </row>
    <row r="1065" spans="1:7" ht="14.25">
      <c r="A1065" s="3" t="str">
        <f>T("53330926A")</f>
        <v>53330926A</v>
      </c>
      <c r="B1065" s="14" t="s">
        <v>5416</v>
      </c>
      <c r="C1065" s="3" t="s">
        <v>1069</v>
      </c>
      <c r="D1065" s="3" t="str">
        <f>T("白潔 藺開慶")</f>
        <v>白潔 藺開慶</v>
      </c>
      <c r="E1065" s="3" t="str">
        <f>T("齊魯")</f>
        <v>齊魯</v>
      </c>
      <c r="F1065" s="3">
        <v>63</v>
      </c>
      <c r="G1065" s="3">
        <v>380</v>
      </c>
    </row>
    <row r="1066" spans="1:7" ht="14.25">
      <c r="A1066" s="3" t="str">
        <f>T("53330926B")</f>
        <v>53330926B</v>
      </c>
      <c r="B1066" s="14" t="s">
        <v>5416</v>
      </c>
      <c r="C1066" s="3" t="s">
        <v>1070</v>
      </c>
      <c r="D1066" s="3" t="str">
        <f>T("王秀亮")</f>
        <v>王秀亮</v>
      </c>
      <c r="E1066" s="3" t="str">
        <f>T("齊魯")</f>
        <v>齊魯</v>
      </c>
      <c r="F1066" s="3">
        <v>63</v>
      </c>
      <c r="G1066" s="3">
        <v>380</v>
      </c>
    </row>
    <row r="1067" spans="1:7" ht="14.25">
      <c r="A1067" s="3" t="str">
        <f>T("53330926C")</f>
        <v>53330926C</v>
      </c>
      <c r="B1067" s="14" t="s">
        <v>5416</v>
      </c>
      <c r="C1067" s="3" t="s">
        <v>1071</v>
      </c>
      <c r="D1067" s="3" t="str">
        <f>T("李鋒")</f>
        <v>李鋒</v>
      </c>
      <c r="E1067" s="3" t="str">
        <f>T("齊魯")</f>
        <v>齊魯</v>
      </c>
      <c r="F1067" s="3">
        <v>63</v>
      </c>
      <c r="G1067" s="3">
        <v>380</v>
      </c>
    </row>
    <row r="1068" spans="1:7" ht="14.25">
      <c r="A1068" s="3" t="str">
        <f>T("53330926D")</f>
        <v>53330926D</v>
      </c>
      <c r="B1068" s="14" t="s">
        <v>5416</v>
      </c>
      <c r="C1068" s="3" t="s">
        <v>1072</v>
      </c>
      <c r="D1068" s="3" t="str">
        <f>T("王榮敏 劉德寶")</f>
        <v>王榮敏 劉德寶</v>
      </c>
      <c r="E1068" s="3" t="str">
        <f>T("齊魯")</f>
        <v>齊魯</v>
      </c>
      <c r="F1068" s="3">
        <v>63</v>
      </c>
      <c r="G1068" s="3">
        <v>380</v>
      </c>
    </row>
    <row r="1069" spans="1:7" ht="14.25">
      <c r="A1069" s="3" t="str">
        <f>T("53330926E")</f>
        <v>53330926E</v>
      </c>
      <c r="B1069" s="14" t="s">
        <v>5416</v>
      </c>
      <c r="C1069" s="3" t="s">
        <v>1073</v>
      </c>
      <c r="D1069" s="3" t="str">
        <f>T("趙曉明 王聿發")</f>
        <v>趙曉明 王聿發</v>
      </c>
      <c r="E1069" s="3" t="str">
        <f>T("齊魯")</f>
        <v>齊魯</v>
      </c>
      <c r="F1069" s="3">
        <v>63</v>
      </c>
      <c r="G1069" s="3">
        <v>380</v>
      </c>
    </row>
    <row r="1070" spans="1:7" ht="14.25">
      <c r="A1070" s="3" t="str">
        <f>T("53330926F")</f>
        <v>53330926F</v>
      </c>
      <c r="B1070" s="14" t="s">
        <v>5416</v>
      </c>
      <c r="C1070" s="3" t="s">
        <v>1074</v>
      </c>
      <c r="D1070" s="3" t="str">
        <f>T("李永敏")</f>
        <v>李永敏</v>
      </c>
      <c r="E1070" s="3" t="str">
        <f>T("齊魯")</f>
        <v>齊魯</v>
      </c>
      <c r="F1070" s="3">
        <v>63</v>
      </c>
      <c r="G1070" s="3">
        <v>380</v>
      </c>
    </row>
    <row r="1071" spans="1:7" ht="14.25">
      <c r="A1071" s="3" t="str">
        <f>T("53331181")</f>
        <v>53331181</v>
      </c>
      <c r="B1071" s="14" t="s">
        <v>5430</v>
      </c>
      <c r="C1071" s="3" t="s">
        <v>1075</v>
      </c>
      <c r="D1071" s="3">
        <f>T("")</f>
      </c>
      <c r="E1071" s="3" t="str">
        <f>T("齊魯書社")</f>
        <v>齊魯書社</v>
      </c>
      <c r="F1071" s="3">
        <v>18</v>
      </c>
      <c r="G1071" s="3">
        <v>108</v>
      </c>
    </row>
    <row r="1072" spans="1:7" ht="14.25">
      <c r="A1072" s="3" t="str">
        <f>T("53331417")</f>
        <v>53331417</v>
      </c>
      <c r="B1072" s="14" t="s">
        <v>5433</v>
      </c>
      <c r="C1072" s="3" t="s">
        <v>1076</v>
      </c>
      <c r="D1072" s="3" t="str">
        <f>T("田川流")</f>
        <v>田川流</v>
      </c>
      <c r="E1072" s="3" t="str">
        <f>T("齊魯書社")</f>
        <v>齊魯書社</v>
      </c>
      <c r="F1072" s="3">
        <v>26</v>
      </c>
      <c r="G1072" s="3">
        <v>156</v>
      </c>
    </row>
    <row r="1073" spans="1:7" ht="14.25">
      <c r="A1073" s="3" t="str">
        <f>T("53331474")</f>
        <v>53331474</v>
      </c>
      <c r="B1073" s="14" t="s">
        <v>5436</v>
      </c>
      <c r="C1073" s="3" t="s">
        <v>1077</v>
      </c>
      <c r="D1073" s="3" t="str">
        <f>T("吳楓")</f>
        <v>吳楓</v>
      </c>
      <c r="E1073" s="3" t="str">
        <f>T("齊魯書社")</f>
        <v>齊魯書社</v>
      </c>
      <c r="F1073" s="3">
        <v>22</v>
      </c>
      <c r="G1073" s="3">
        <v>132</v>
      </c>
    </row>
    <row r="1074" spans="1:7" ht="14.25">
      <c r="A1074" s="3" t="str">
        <f>T("53331652")</f>
        <v>53331652</v>
      </c>
      <c r="B1074" s="14" t="s">
        <v>5439</v>
      </c>
      <c r="C1074" s="3" t="s">
        <v>1078</v>
      </c>
      <c r="D1074" s="3" t="str">
        <f>T("周志雄")</f>
        <v>周志雄</v>
      </c>
      <c r="E1074" s="3" t="str">
        <f>T("齊魯書社")</f>
        <v>齊魯書社</v>
      </c>
      <c r="F1074" s="3">
        <v>18</v>
      </c>
      <c r="G1074" s="3">
        <v>108</v>
      </c>
    </row>
    <row r="1075" spans="1:7" ht="14.25">
      <c r="A1075" s="3" t="str">
        <f>T("53331682")</f>
        <v>53331682</v>
      </c>
      <c r="B1075" s="14" t="s">
        <v>5442</v>
      </c>
      <c r="C1075" s="3" t="s">
        <v>1079</v>
      </c>
      <c r="D1075" s="3" t="str">
        <f>T("李冬紅")</f>
        <v>李冬紅</v>
      </c>
      <c r="E1075" s="3" t="str">
        <f>T("齊魯書社")</f>
        <v>齊魯書社</v>
      </c>
      <c r="F1075" s="3">
        <v>22</v>
      </c>
      <c r="G1075" s="3">
        <v>132</v>
      </c>
    </row>
    <row r="1076" spans="1:7" ht="14.25">
      <c r="A1076" s="3" t="str">
        <f>T("53331759")</f>
        <v>53331759</v>
      </c>
      <c r="B1076" s="14" t="s">
        <v>5445</v>
      </c>
      <c r="C1076" s="3" t="s">
        <v>1080</v>
      </c>
      <c r="D1076" s="3" t="str">
        <f>T("呂周聚")</f>
        <v>呂周聚</v>
      </c>
      <c r="E1076" s="3" t="str">
        <f>T("齊魯書社")</f>
        <v>齊魯書社</v>
      </c>
      <c r="F1076" s="3">
        <v>22</v>
      </c>
      <c r="G1076" s="3">
        <v>132</v>
      </c>
    </row>
    <row r="1077" spans="1:7" ht="14.25">
      <c r="A1077" s="3" t="str">
        <f>T("53331863")</f>
        <v>53331863</v>
      </c>
      <c r="B1077" s="14" t="s">
        <v>5448</v>
      </c>
      <c r="C1077" s="3" t="s">
        <v>1081</v>
      </c>
      <c r="D1077" s="3" t="str">
        <f>T("盛志梅")</f>
        <v>盛志梅</v>
      </c>
      <c r="E1077" s="3" t="str">
        <f>T("齊魯書社")</f>
        <v>齊魯書社</v>
      </c>
      <c r="F1077" s="3">
        <v>35</v>
      </c>
      <c r="G1077" s="3">
        <v>210</v>
      </c>
    </row>
    <row r="1078" spans="1:7" ht="14.25">
      <c r="A1078" s="3" t="str">
        <f>T("53332092")</f>
        <v>53332092</v>
      </c>
      <c r="B1078" s="14" t="s">
        <v>5451</v>
      </c>
      <c r="C1078" s="3" t="s">
        <v>1082</v>
      </c>
      <c r="D1078" s="3" t="str">
        <f>T("周遠斌")</f>
        <v>周遠斌</v>
      </c>
      <c r="E1078" s="3" t="str">
        <f>T("齊魯書社")</f>
        <v>齊魯書社</v>
      </c>
      <c r="F1078" s="3">
        <v>28</v>
      </c>
      <c r="G1078" s="3">
        <v>168</v>
      </c>
    </row>
    <row r="1079" spans="1:7" ht="14.25">
      <c r="A1079" s="3" t="str">
        <f>T("53332111")</f>
        <v>53332111</v>
      </c>
      <c r="B1079" s="14" t="s">
        <v>5454</v>
      </c>
      <c r="C1079" s="3" t="s">
        <v>1083</v>
      </c>
      <c r="D1079" s="3" t="str">
        <f>T("張忠綱、趙睿才")</f>
        <v>張忠綱、趙睿才</v>
      </c>
      <c r="E1079" s="3" t="str">
        <f>T("齊魯書社")</f>
        <v>齊魯書社</v>
      </c>
      <c r="F1079" s="3">
        <v>79</v>
      </c>
      <c r="G1079" s="3">
        <v>474</v>
      </c>
    </row>
    <row r="1080" spans="1:7" ht="14.25">
      <c r="A1080" s="3" t="str">
        <f>T("53332119")</f>
        <v>53332119</v>
      </c>
      <c r="B1080" s="14" t="s">
        <v>5457</v>
      </c>
      <c r="C1080" s="3" t="s">
        <v>1084</v>
      </c>
      <c r="D1080" s="3" t="str">
        <f>T("劉翔")</f>
        <v>劉翔</v>
      </c>
      <c r="E1080" s="3" t="str">
        <f>T("齊魯書社")</f>
        <v>齊魯書社</v>
      </c>
      <c r="F1080" s="3">
        <v>26</v>
      </c>
      <c r="G1080" s="3">
        <v>156</v>
      </c>
    </row>
    <row r="1081" spans="1:7" ht="14.25">
      <c r="A1081" s="3" t="str">
        <f>T("53332121")</f>
        <v>53332121</v>
      </c>
      <c r="B1081" s="14" t="s">
        <v>5460</v>
      </c>
      <c r="C1081" s="3" t="s">
        <v>1085</v>
      </c>
      <c r="D1081" s="3" t="str">
        <f>T("潘定武")</f>
        <v>潘定武</v>
      </c>
      <c r="E1081" s="3" t="str">
        <f>T("齊魯書社")</f>
        <v>齊魯書社</v>
      </c>
      <c r="F1081" s="3">
        <v>38</v>
      </c>
      <c r="G1081" s="3">
        <v>228</v>
      </c>
    </row>
    <row r="1082" spans="1:7" ht="14.25">
      <c r="A1082" s="3" t="str">
        <f>T("53332122")</f>
        <v>53332122</v>
      </c>
      <c r="B1082" s="14" t="s">
        <v>5463</v>
      </c>
      <c r="C1082" s="3" t="s">
        <v>1086</v>
      </c>
      <c r="D1082" s="3" t="str">
        <f>T("[清] 蒲松齡")</f>
        <v>[清] 蒲松齡</v>
      </c>
      <c r="E1082" s="3" t="str">
        <f>T("齊魯書社")</f>
        <v>齊魯書社</v>
      </c>
      <c r="F1082" s="3">
        <v>1680</v>
      </c>
      <c r="G1082" s="3">
        <v>10080</v>
      </c>
    </row>
    <row r="1083" spans="1:7" ht="14.25">
      <c r="A1083" s="3" t="str">
        <f>T("53332129")</f>
        <v>53332129</v>
      </c>
      <c r="B1083" s="14" t="s">
        <v>5466</v>
      </c>
      <c r="C1083" s="3" t="s">
        <v>1087</v>
      </c>
      <c r="D1083" s="3" t="str">
        <f>T("餘同元")</f>
        <v>餘同元</v>
      </c>
      <c r="E1083" s="3" t="str">
        <f>T("齊魯書社")</f>
        <v>齊魯書社</v>
      </c>
      <c r="F1083" s="3">
        <v>32</v>
      </c>
      <c r="G1083" s="3">
        <v>192</v>
      </c>
    </row>
    <row r="1084" spans="1:7" ht="14.25">
      <c r="A1084" s="3" t="str">
        <f>T("53332140")</f>
        <v>53332140</v>
      </c>
      <c r="B1084" s="14" t="s">
        <v>5469</v>
      </c>
      <c r="C1084" s="3" t="s">
        <v>1088</v>
      </c>
      <c r="D1084" s="3" t="str">
        <f>T("池萬興")</f>
        <v>池萬興</v>
      </c>
      <c r="E1084" s="3" t="str">
        <f>T("齊魯書社")</f>
        <v>齊魯書社</v>
      </c>
      <c r="F1084" s="3">
        <v>39</v>
      </c>
      <c r="G1084" s="3">
        <v>234</v>
      </c>
    </row>
    <row r="1085" spans="1:7" ht="14.25">
      <c r="A1085" s="3" t="str">
        <f>T("53332145")</f>
        <v>53332145</v>
      </c>
      <c r="B1085" s="14" t="s">
        <v>5472</v>
      </c>
      <c r="C1085" s="3" t="s">
        <v>1089</v>
      </c>
      <c r="D1085" s="3" t="str">
        <f>T("杜貴晨")</f>
        <v>杜貴晨</v>
      </c>
      <c r="E1085" s="3" t="str">
        <f>T("齊魯書社")</f>
        <v>齊魯書社</v>
      </c>
      <c r="F1085" s="3">
        <v>48</v>
      </c>
      <c r="G1085" s="3">
        <v>288</v>
      </c>
    </row>
    <row r="1086" spans="1:7" ht="14.25">
      <c r="A1086" s="3" t="str">
        <f>T("53332146")</f>
        <v>53332146</v>
      </c>
      <c r="B1086" s="14" t="s">
        <v>5475</v>
      </c>
      <c r="C1086" s="3" t="s">
        <v>1090</v>
      </c>
      <c r="D1086" s="3" t="str">
        <f>T("王琳")</f>
        <v>王琳</v>
      </c>
      <c r="E1086" s="3" t="str">
        <f>T("齊魯書社")</f>
        <v>齊魯書社</v>
      </c>
      <c r="F1086" s="3">
        <v>39</v>
      </c>
      <c r="G1086" s="3">
        <v>234</v>
      </c>
    </row>
    <row r="1087" spans="1:7" ht="14.25">
      <c r="A1087" s="3" t="str">
        <f>T("53332147")</f>
        <v>53332147</v>
      </c>
      <c r="B1087" s="14" t="s">
        <v>5478</v>
      </c>
      <c r="C1087" s="3" t="s">
        <v>1091</v>
      </c>
      <c r="D1087" s="3" t="str">
        <f>T("王恒展")</f>
        <v>王恒展</v>
      </c>
      <c r="E1087" s="3" t="str">
        <f>T("齊魯書社")</f>
        <v>齊魯書社</v>
      </c>
      <c r="F1087" s="3">
        <v>29</v>
      </c>
      <c r="G1087" s="3">
        <v>174</v>
      </c>
    </row>
    <row r="1088" spans="1:7" ht="14.25">
      <c r="A1088" s="3" t="str">
        <f>T("53332149")</f>
        <v>53332149</v>
      </c>
      <c r="B1088" s="14" t="s">
        <v>5481</v>
      </c>
      <c r="C1088" s="3" t="s">
        <v>1092</v>
      </c>
      <c r="D1088" s="3" t="str">
        <f>T("李兆祿")</f>
        <v>李兆祿</v>
      </c>
      <c r="E1088" s="3" t="str">
        <f>T("齊魯書社")</f>
        <v>齊魯書社</v>
      </c>
      <c r="F1088" s="3">
        <v>36</v>
      </c>
      <c r="G1088" s="3">
        <v>216</v>
      </c>
    </row>
    <row r="1089" spans="1:7" ht="14.25">
      <c r="A1089" s="3" t="str">
        <f>T("53332150")</f>
        <v>53332150</v>
      </c>
      <c r="B1089" s="14" t="s">
        <v>5484</v>
      </c>
      <c r="C1089" s="3" t="s">
        <v>1093</v>
      </c>
      <c r="D1089" s="3" t="str">
        <f>T("徐文君")</f>
        <v>徐文君</v>
      </c>
      <c r="E1089" s="3" t="str">
        <f>T("齊魯書社")</f>
        <v>齊魯書社</v>
      </c>
      <c r="F1089" s="3">
        <v>30</v>
      </c>
      <c r="G1089" s="3">
        <v>180</v>
      </c>
    </row>
    <row r="1090" spans="1:7" ht="14.25">
      <c r="A1090" s="3" t="str">
        <f>T("53332157")</f>
        <v>53332157</v>
      </c>
      <c r="B1090" s="14" t="s">
        <v>5487</v>
      </c>
      <c r="C1090" s="3" t="s">
        <v>1094</v>
      </c>
      <c r="D1090" s="3" t="str">
        <f>T("王健")</f>
        <v>王健</v>
      </c>
      <c r="E1090" s="3" t="str">
        <f>T("齊魯書社")</f>
        <v>齊魯書社</v>
      </c>
      <c r="F1090" s="3">
        <v>29</v>
      </c>
      <c r="G1090" s="3">
        <v>174</v>
      </c>
    </row>
    <row r="1091" spans="1:7" ht="14.25">
      <c r="A1091" s="3" t="str">
        <f>T("53332165")</f>
        <v>53332165</v>
      </c>
      <c r="B1091" s="14" t="s">
        <v>5490</v>
      </c>
      <c r="C1091" s="3" t="s">
        <v>1095</v>
      </c>
      <c r="D1091" s="3" t="str">
        <f>T("靳永")</f>
        <v>靳永</v>
      </c>
      <c r="E1091" s="3" t="str">
        <f>T("齊魯書社")</f>
        <v>齊魯書社</v>
      </c>
      <c r="F1091" s="3">
        <v>32</v>
      </c>
      <c r="G1091" s="3">
        <v>192</v>
      </c>
    </row>
    <row r="1092" spans="1:7" ht="14.25">
      <c r="A1092" s="3" t="str">
        <f>T("53332166")</f>
        <v>53332166</v>
      </c>
      <c r="B1092" s="14" t="s">
        <v>5493</v>
      </c>
      <c r="C1092" s="3" t="s">
        <v>1096</v>
      </c>
      <c r="D1092" s="3" t="str">
        <f>T("薑寶昌")</f>
        <v>薑寶昌</v>
      </c>
      <c r="E1092" s="3" t="str">
        <f>T("齊魯書社")</f>
        <v>齊魯書社</v>
      </c>
      <c r="F1092" s="3">
        <v>75</v>
      </c>
      <c r="G1092" s="3">
        <v>450</v>
      </c>
    </row>
    <row r="1093" spans="1:7" ht="14.25">
      <c r="A1093" s="3" t="str">
        <f>T("53332169")</f>
        <v>53332169</v>
      </c>
      <c r="B1093" s="14" t="s">
        <v>5496</v>
      </c>
      <c r="C1093" s="3" t="s">
        <v>1097</v>
      </c>
      <c r="D1093" s="3" t="str">
        <f>T("趙蔚芝")</f>
        <v>趙蔚芝</v>
      </c>
      <c r="E1093" s="3" t="str">
        <f>T("齊魯書社")</f>
        <v>齊魯書社</v>
      </c>
      <c r="F1093" s="3">
        <v>55</v>
      </c>
      <c r="G1093" s="3">
        <v>330</v>
      </c>
    </row>
    <row r="1094" spans="1:7" ht="14.25">
      <c r="A1094" s="3" t="str">
        <f>T("53332175")</f>
        <v>53332175</v>
      </c>
      <c r="B1094" s="14" t="s">
        <v>5499</v>
      </c>
      <c r="C1094" s="3" t="s">
        <v>1098</v>
      </c>
      <c r="D1094" s="3" t="str">
        <f>T("顏之推")</f>
        <v>顏之推</v>
      </c>
      <c r="E1094" s="3" t="str">
        <f>T("齊魯書社")</f>
        <v>齊魯書社</v>
      </c>
      <c r="F1094" s="3">
        <v>37</v>
      </c>
      <c r="G1094" s="3">
        <v>222</v>
      </c>
    </row>
    <row r="1095" spans="1:7" ht="14.25">
      <c r="A1095" s="3" t="str">
        <f>T("53332198")</f>
        <v>53332198</v>
      </c>
      <c r="B1095" s="14" t="s">
        <v>5502</v>
      </c>
      <c r="C1095" s="3" t="s">
        <v>1099</v>
      </c>
      <c r="D1095" s="3" t="str">
        <f>T("劉衛東")</f>
        <v>劉衛東</v>
      </c>
      <c r="E1095" s="3" t="str">
        <f>T("齊魯書社")</f>
        <v>齊魯書社</v>
      </c>
      <c r="F1095" s="3">
        <v>26</v>
      </c>
      <c r="G1095" s="3">
        <v>156</v>
      </c>
    </row>
    <row r="1096" spans="1:7" ht="14.25">
      <c r="A1096" s="3" t="str">
        <f>T("53332239")</f>
        <v>53332239</v>
      </c>
      <c r="B1096" s="14" t="s">
        <v>5505</v>
      </c>
      <c r="C1096" s="3" t="s">
        <v>1100</v>
      </c>
      <c r="D1096" s="3" t="str">
        <f>T("張桂林")</f>
        <v>張桂林</v>
      </c>
      <c r="E1096" s="3" t="str">
        <f>T("齊魯書社")</f>
        <v>齊魯書社</v>
      </c>
      <c r="F1096" s="3">
        <v>45</v>
      </c>
      <c r="G1096" s="3">
        <v>270</v>
      </c>
    </row>
    <row r="1097" spans="1:7" ht="14.25">
      <c r="A1097" s="3" t="str">
        <f>T("53332242")</f>
        <v>53332242</v>
      </c>
      <c r="B1097" s="14" t="s">
        <v>5508</v>
      </c>
      <c r="C1097" s="3" t="s">
        <v>5</v>
      </c>
      <c r="D1097" s="3" t="str">
        <f>T("楊恩玉")</f>
        <v>楊恩玉</v>
      </c>
      <c r="E1097" s="3" t="str">
        <f>T("齊魯書社")</f>
        <v>齊魯書社</v>
      </c>
      <c r="F1097" s="3">
        <v>24</v>
      </c>
      <c r="G1097" s="3">
        <v>144</v>
      </c>
    </row>
    <row r="1098" spans="1:7" ht="14.25">
      <c r="A1098" s="3" t="str">
        <f>T("53332246")</f>
        <v>53332246</v>
      </c>
      <c r="B1098" s="14" t="s">
        <v>5511</v>
      </c>
      <c r="C1098" s="3" t="s">
        <v>1101</v>
      </c>
      <c r="D1098" s="3" t="str">
        <f>T("鄭明璋")</f>
        <v>鄭明璋</v>
      </c>
      <c r="E1098" s="3" t="str">
        <f>T("齊魯書社")</f>
        <v>齊魯書社</v>
      </c>
      <c r="F1098" s="3">
        <v>29</v>
      </c>
      <c r="G1098" s="3">
        <v>174</v>
      </c>
    </row>
    <row r="1099" spans="1:7" ht="14.25">
      <c r="A1099" s="3" t="str">
        <f>T("53332251")</f>
        <v>53332251</v>
      </c>
      <c r="B1099" s="14" t="s">
        <v>5514</v>
      </c>
      <c r="C1099" s="3" t="s">
        <v>1102</v>
      </c>
      <c r="D1099" s="3" t="str">
        <f>T("齊廉允")</f>
        <v>齊廉允</v>
      </c>
      <c r="E1099" s="3" t="str">
        <f>T("齊魯書社")</f>
        <v>齊魯書社</v>
      </c>
      <c r="F1099" s="3">
        <v>28</v>
      </c>
      <c r="G1099" s="3">
        <v>168</v>
      </c>
    </row>
    <row r="1100" spans="1:7" ht="14.25">
      <c r="A1100" s="3" t="str">
        <f>T("53332256")</f>
        <v>53332256</v>
      </c>
      <c r="B1100" s="14" t="s">
        <v>5517</v>
      </c>
      <c r="C1100" s="3" t="s">
        <v>1103</v>
      </c>
      <c r="D1100" s="3" t="str">
        <f>T("範麗敏")</f>
        <v>範麗敏</v>
      </c>
      <c r="E1100" s="3" t="str">
        <f>T("齊魯書社")</f>
        <v>齊魯書社</v>
      </c>
      <c r="F1100" s="3">
        <v>30</v>
      </c>
      <c r="G1100" s="3">
        <v>180</v>
      </c>
    </row>
    <row r="1101" spans="1:7" ht="14.25">
      <c r="A1101" s="3" t="str">
        <f>T("53332257")</f>
        <v>53332257</v>
      </c>
      <c r="B1101" s="14" t="s">
        <v>5520</v>
      </c>
      <c r="C1101" s="3" t="s">
        <v>1104</v>
      </c>
      <c r="D1101" s="3" t="str">
        <f>T("孟祥才")</f>
        <v>孟祥才</v>
      </c>
      <c r="E1101" s="3" t="str">
        <f>T("齊魯書社")</f>
        <v>齊魯書社</v>
      </c>
      <c r="F1101" s="3">
        <v>25</v>
      </c>
      <c r="G1101" s="3">
        <v>150</v>
      </c>
    </row>
    <row r="1102" spans="1:7" ht="14.25">
      <c r="A1102" s="3" t="str">
        <f>T("53332264")</f>
        <v>53332264</v>
      </c>
      <c r="B1102" s="14" t="s">
        <v>5523</v>
      </c>
      <c r="C1102" s="3" t="s">
        <v>1105</v>
      </c>
      <c r="D1102" s="3" t="str">
        <f>T("潘守皎")</f>
        <v>潘守皎</v>
      </c>
      <c r="E1102" s="3" t="str">
        <f>T("齊魯書社")</f>
        <v>齊魯書社</v>
      </c>
      <c r="F1102" s="3">
        <v>28</v>
      </c>
      <c r="G1102" s="3">
        <v>168</v>
      </c>
    </row>
    <row r="1103" spans="1:7" ht="14.25">
      <c r="A1103" s="3" t="str">
        <f>T("53332279")</f>
        <v>53332279</v>
      </c>
      <c r="B1103" s="14" t="s">
        <v>5526</v>
      </c>
      <c r="C1103" s="3" t="s">
        <v>1106</v>
      </c>
      <c r="D1103" s="3" t="str">
        <f>T("王漢衛")</f>
        <v>王漢衛</v>
      </c>
      <c r="E1103" s="3" t="str">
        <f>T("齊魯書社")</f>
        <v>齊魯書社</v>
      </c>
      <c r="F1103" s="3">
        <v>28</v>
      </c>
      <c r="G1103" s="3">
        <v>168</v>
      </c>
    </row>
    <row r="1104" spans="1:7" ht="14.25">
      <c r="A1104" s="3" t="str">
        <f>T("53332280")</f>
        <v>53332280</v>
      </c>
      <c r="B1104" s="14" t="s">
        <v>5529</v>
      </c>
      <c r="C1104" s="3" t="s">
        <v>1107</v>
      </c>
      <c r="D1104" s="3" t="str">
        <f>T("趙樹廷")</f>
        <v>趙樹廷</v>
      </c>
      <c r="E1104" s="3" t="str">
        <f>T("齊魯書社")</f>
        <v>齊魯書社</v>
      </c>
      <c r="F1104" s="3">
        <v>27</v>
      </c>
      <c r="G1104" s="3">
        <v>162</v>
      </c>
    </row>
    <row r="1105" spans="1:7" ht="14.25">
      <c r="A1105" s="3" t="str">
        <f>T("53332283")</f>
        <v>53332283</v>
      </c>
      <c r="B1105" s="14" t="s">
        <v>5532</v>
      </c>
      <c r="C1105" s="3" t="s">
        <v>1108</v>
      </c>
      <c r="D1105" s="3" t="str">
        <f>T("範學輝")</f>
        <v>範學輝</v>
      </c>
      <c r="E1105" s="3" t="str">
        <f>T("齊魯書社")</f>
        <v>齊魯書社</v>
      </c>
      <c r="F1105" s="3">
        <v>30</v>
      </c>
      <c r="G1105" s="3">
        <v>180</v>
      </c>
    </row>
    <row r="1106" spans="1:7" ht="14.25">
      <c r="A1106" s="3" t="str">
        <f>T("53332298")</f>
        <v>53332298</v>
      </c>
      <c r="B1106" s="14" t="s">
        <v>5535</v>
      </c>
      <c r="C1106" s="3" t="s">
        <v>1109</v>
      </c>
      <c r="D1106" s="3" t="str">
        <f>T("張同勝")</f>
        <v>張同勝</v>
      </c>
      <c r="E1106" s="3" t="str">
        <f>T("齊魯書社")</f>
        <v>齊魯書社</v>
      </c>
      <c r="F1106" s="3">
        <v>40</v>
      </c>
      <c r="G1106" s="3">
        <v>240</v>
      </c>
    </row>
    <row r="1107" spans="1:7" ht="14.25">
      <c r="A1107" s="3" t="str">
        <f>T("53332340")</f>
        <v>53332340</v>
      </c>
      <c r="B1107" s="14" t="s">
        <v>5538</v>
      </c>
      <c r="C1107" s="3" t="s">
        <v>1110</v>
      </c>
      <c r="D1107" s="3" t="str">
        <f>T("（日）麥穀邦夫.（日）吉川忠夫著")</f>
        <v>（日）麥穀邦夫.（日）吉川忠夫著</v>
      </c>
      <c r="E1107" s="3" t="str">
        <f>T("齊魯書社")</f>
        <v>齊魯書社</v>
      </c>
      <c r="F1107" s="3">
        <v>40</v>
      </c>
      <c r="G1107" s="3">
        <v>240</v>
      </c>
    </row>
    <row r="1108" spans="1:7" ht="14.25">
      <c r="A1108" s="3" t="str">
        <f>T("53332385")</f>
        <v>53332385</v>
      </c>
      <c r="B1108" s="14" t="s">
        <v>5541</v>
      </c>
      <c r="C1108" s="3" t="s">
        <v>1111</v>
      </c>
      <c r="D1108" s="3" t="str">
        <f>T("李峻岫")</f>
        <v>李峻岫</v>
      </c>
      <c r="E1108" s="3" t="str">
        <f>T("齊魯書社")</f>
        <v>齊魯書社</v>
      </c>
      <c r="F1108" s="3">
        <v>34</v>
      </c>
      <c r="G1108" s="3">
        <v>204</v>
      </c>
    </row>
    <row r="1109" spans="1:7" ht="14.25">
      <c r="A1109" s="3" t="str">
        <f>T("53332400")</f>
        <v>53332400</v>
      </c>
      <c r="B1109" s="14" t="s">
        <v>5544</v>
      </c>
      <c r="C1109" s="3" t="s">
        <v>1112</v>
      </c>
      <c r="D1109" s="3" t="str">
        <f>T("徐鑫")</f>
        <v>徐鑫</v>
      </c>
      <c r="E1109" s="3" t="str">
        <f>T("齊魯書社")</f>
        <v>齊魯書社</v>
      </c>
      <c r="F1109" s="3">
        <v>26</v>
      </c>
      <c r="G1109" s="3">
        <v>156</v>
      </c>
    </row>
    <row r="1110" spans="1:7" ht="14.25">
      <c r="A1110" s="3" t="str">
        <f>T("53345183")</f>
        <v>53345183</v>
      </c>
      <c r="B1110" s="14" t="s">
        <v>5547</v>
      </c>
      <c r="C1110" s="3" t="s">
        <v>1113</v>
      </c>
      <c r="D1110" s="3" t="str">
        <f>T("張清華著")</f>
        <v>張清華著</v>
      </c>
      <c r="E1110" s="3" t="str">
        <f>T("福建教育")</f>
        <v>福建教育</v>
      </c>
      <c r="F1110" s="3">
        <v>33</v>
      </c>
      <c r="G1110" s="3">
        <v>198</v>
      </c>
    </row>
    <row r="1111" spans="1:7" ht="14.25">
      <c r="A1111" s="3" t="str">
        <f>T("53345234")</f>
        <v>53345234</v>
      </c>
      <c r="B1111" s="14" t="s">
        <v>5551</v>
      </c>
      <c r="C1111" s="3" t="s">
        <v>1114</v>
      </c>
      <c r="D1111" s="3" t="str">
        <f>T("歐陽軍喜")</f>
        <v>歐陽軍喜</v>
      </c>
      <c r="E1111" s="3" t="str">
        <f>T("福建教育")</f>
        <v>福建教育</v>
      </c>
      <c r="F1111" s="3">
        <v>29.8</v>
      </c>
      <c r="G1111" s="3">
        <v>179</v>
      </c>
    </row>
    <row r="1112" spans="1:7" ht="14.25">
      <c r="A1112" s="3" t="str">
        <f>T("53352036")</f>
        <v>53352036</v>
      </c>
      <c r="B1112" s="14" t="s">
        <v>5554</v>
      </c>
      <c r="C1112" s="3" t="s">
        <v>1115</v>
      </c>
      <c r="D1112" s="3" t="str">
        <f>T("彭長榮")</f>
        <v>彭長榮</v>
      </c>
      <c r="E1112" s="3" t="str">
        <f>T("福建科技")</f>
        <v>福建科技</v>
      </c>
      <c r="F1112" s="3">
        <v>38</v>
      </c>
      <c r="G1112" s="3">
        <v>228</v>
      </c>
    </row>
    <row r="1113" spans="1:7" ht="14.25">
      <c r="A1113" s="3" t="str">
        <f>T("53364309")</f>
        <v>53364309</v>
      </c>
      <c r="B1113" s="14" t="s">
        <v>5558</v>
      </c>
      <c r="C1113" s="3" t="s">
        <v>1116</v>
      </c>
      <c r="D1113" s="3" t="str">
        <f>T("吳新雷")</f>
        <v>吳新雷</v>
      </c>
      <c r="E1113" s="3">
        <f>T("")</f>
      </c>
      <c r="F1113" s="3"/>
      <c r="G1113" s="3">
        <v>100</v>
      </c>
    </row>
    <row r="1114" spans="1:7" ht="14.25">
      <c r="A1114" s="3" t="str">
        <f>T("53364359")</f>
        <v>53364359</v>
      </c>
      <c r="B1114" s="14" t="s">
        <v>5561</v>
      </c>
      <c r="C1114" s="3" t="s">
        <v>1117</v>
      </c>
      <c r="D1114" s="3" t="str">
        <f>T("孫郁")</f>
        <v>孫郁</v>
      </c>
      <c r="E1114" s="3" t="str">
        <f>T("安徽教育")</f>
        <v>安徽教育</v>
      </c>
      <c r="F1114" s="3">
        <v>28</v>
      </c>
      <c r="G1114" s="3">
        <v>168</v>
      </c>
    </row>
    <row r="1115" spans="1:7" ht="14.25">
      <c r="A1115" s="3" t="str">
        <f>T("53365130")</f>
        <v>53365130</v>
      </c>
      <c r="B1115" s="14" t="s">
        <v>5565</v>
      </c>
      <c r="C1115" s="3" t="s">
        <v>1118</v>
      </c>
      <c r="D1115" s="3" t="str">
        <f>T("李濤")</f>
        <v>李濤</v>
      </c>
      <c r="E1115" s="3" t="str">
        <f>T("安徽教育")</f>
        <v>安徽教育</v>
      </c>
      <c r="F1115" s="3">
        <v>24.8</v>
      </c>
      <c r="G1115" s="3">
        <v>149</v>
      </c>
    </row>
    <row r="1116" spans="1:7" ht="14.25">
      <c r="A1116" s="3" t="str">
        <f>T("53392677")</f>
        <v>53392677</v>
      </c>
      <c r="B1116" s="14" t="s">
        <v>5568</v>
      </c>
      <c r="C1116" s="3" t="s">
        <v>1119</v>
      </c>
      <c r="D1116" s="3" t="str">
        <f>T("劉茂銀著")</f>
        <v>劉茂銀著</v>
      </c>
      <c r="E1116" s="3" t="str">
        <f>T("浙江文藝")</f>
        <v>浙江文藝</v>
      </c>
      <c r="F1116" s="3">
        <v>45</v>
      </c>
      <c r="G1116" s="3">
        <v>270</v>
      </c>
    </row>
    <row r="1117" spans="1:7" ht="14.25">
      <c r="A1117" s="3" t="str">
        <f>T("53411457")</f>
        <v>53411457</v>
      </c>
      <c r="B1117" s="14" t="s">
        <v>5572</v>
      </c>
      <c r="C1117" s="3" t="s">
        <v>1121</v>
      </c>
      <c r="D1117" s="3" t="str">
        <f>T("汪梅")</f>
        <v>汪梅</v>
      </c>
      <c r="E1117" s="3" t="str">
        <f>T("浙江科技")</f>
        <v>浙江科技</v>
      </c>
      <c r="F1117" s="3">
        <v>24</v>
      </c>
      <c r="G1117" s="3">
        <v>144</v>
      </c>
    </row>
    <row r="1118" spans="1:7" ht="14.25">
      <c r="A1118" s="3" t="str">
        <f>T("53437945")</f>
        <v>53437945</v>
      </c>
      <c r="B1118" s="14" t="s">
        <v>5576</v>
      </c>
      <c r="C1118" s="3" t="s">
        <v>1123</v>
      </c>
      <c r="D1118" s="3" t="str">
        <f>T("吳炫")</f>
        <v>吳炫</v>
      </c>
      <c r="E1118" s="3" t="str">
        <f>T("江蘇教育")</f>
        <v>江蘇教育</v>
      </c>
      <c r="F1118" s="3">
        <v>32</v>
      </c>
      <c r="G1118" s="3">
        <v>192</v>
      </c>
    </row>
    <row r="1119" spans="1:7" ht="14.25">
      <c r="A1119" s="3" t="str">
        <f>T("53442890")</f>
        <v>53442890</v>
      </c>
      <c r="B1119" s="14" t="s">
        <v>5580</v>
      </c>
      <c r="C1119" s="3" t="s">
        <v>1124</v>
      </c>
      <c r="D1119" s="3" t="str">
        <f>T("陳竟")</f>
        <v>陳竟</v>
      </c>
      <c r="E1119" s="3" t="str">
        <f>T("江蘇美術")</f>
        <v>江蘇美術</v>
      </c>
      <c r="F1119" s="3">
        <v>80</v>
      </c>
      <c r="G1119" s="3">
        <v>480</v>
      </c>
    </row>
    <row r="1120" spans="1:7" ht="14.25">
      <c r="A1120" s="3" t="str">
        <f>T("53472004")</f>
        <v>53472004</v>
      </c>
      <c r="B1120" s="14" t="s">
        <v>5584</v>
      </c>
      <c r="C1120" s="3" t="s">
        <v>1125</v>
      </c>
      <c r="D1120" s="3" t="str">
        <f>T("劉勇強")</f>
        <v>劉勇強</v>
      </c>
      <c r="E1120" s="3" t="str">
        <f>T("大象")</f>
        <v>大象</v>
      </c>
      <c r="F1120" s="3">
        <v>13</v>
      </c>
      <c r="G1120" s="3">
        <v>78</v>
      </c>
    </row>
    <row r="1121" spans="1:7" ht="14.25">
      <c r="A1121" s="3" t="str">
        <f>T("53472008")</f>
        <v>53472008</v>
      </c>
      <c r="B1121" s="14" t="s">
        <v>5588</v>
      </c>
      <c r="C1121" s="3" t="s">
        <v>1126</v>
      </c>
      <c r="D1121" s="3" t="str">
        <f>T("麼書儀")</f>
        <v>麼書儀</v>
      </c>
      <c r="E1121" s="3" t="str">
        <f>T("大象")</f>
        <v>大象</v>
      </c>
      <c r="F1121" s="3">
        <v>11</v>
      </c>
      <c r="G1121" s="3">
        <v>66</v>
      </c>
    </row>
    <row r="1122" spans="1:7" ht="14.25">
      <c r="A1122" s="3" t="str">
        <f>T("53473829")</f>
        <v>53473829</v>
      </c>
      <c r="B1122" s="14" t="s">
        <v>5591</v>
      </c>
      <c r="C1122" s="3" t="s">
        <v>1127</v>
      </c>
      <c r="D1122" s="3" t="str">
        <f>T("本社")</f>
        <v>本社</v>
      </c>
      <c r="E1122" s="3" t="str">
        <f>T("河南大象")</f>
        <v>河南大象</v>
      </c>
      <c r="F1122" s="3">
        <v>31.6</v>
      </c>
      <c r="G1122" s="3">
        <v>190</v>
      </c>
    </row>
    <row r="1123" spans="1:7" ht="14.25">
      <c r="A1123" s="3" t="str">
        <f>T("53474888")</f>
        <v>53474888</v>
      </c>
      <c r="B1123" s="14" t="s">
        <v>5594</v>
      </c>
      <c r="C1123" s="3" t="s">
        <v>1128</v>
      </c>
      <c r="D1123" s="3" t="str">
        <f>T("龐毅")</f>
        <v>龐毅</v>
      </c>
      <c r="E1123" s="3" t="str">
        <f>T("大象")</f>
        <v>大象</v>
      </c>
      <c r="F1123" s="3">
        <v>28</v>
      </c>
      <c r="G1123" s="3">
        <v>168</v>
      </c>
    </row>
    <row r="1124" spans="1:7" ht="14.25">
      <c r="A1124" s="3" t="str">
        <f>T("53474916")</f>
        <v>53474916</v>
      </c>
      <c r="B1124" s="14" t="s">
        <v>5597</v>
      </c>
      <c r="C1124" s="3" t="s">
        <v>1129</v>
      </c>
      <c r="D1124" s="3" t="str">
        <f>T("史仲文")</f>
        <v>史仲文</v>
      </c>
      <c r="E1124" s="3" t="str">
        <f>T("大象")</f>
        <v>大象</v>
      </c>
      <c r="F1124" s="3">
        <v>39</v>
      </c>
      <c r="G1124" s="3">
        <v>234</v>
      </c>
    </row>
    <row r="1125" spans="1:7" ht="14.25">
      <c r="A1125" s="3" t="str">
        <f>T("53474928")</f>
        <v>53474928</v>
      </c>
      <c r="B1125" s="14" t="s">
        <v>5600</v>
      </c>
      <c r="C1125" s="3" t="s">
        <v>1130</v>
      </c>
      <c r="D1125" s="3" t="str">
        <f>T("白榮金，鍾少異編")</f>
        <v>白榮金，鍾少異編</v>
      </c>
      <c r="E1125" s="3" t="str">
        <f>T("河南大象")</f>
        <v>河南大象</v>
      </c>
      <c r="F1125" s="3">
        <v>380</v>
      </c>
      <c r="G1125" s="3">
        <v>2280</v>
      </c>
    </row>
    <row r="1126" spans="1:7" ht="14.25">
      <c r="A1126" s="3" t="str">
        <f>T("53475026")</f>
        <v>53475026</v>
      </c>
      <c r="B1126" s="14" t="s">
        <v>5603</v>
      </c>
      <c r="C1126" s="3" t="s">
        <v>1131</v>
      </c>
      <c r="D1126" s="3" t="str">
        <f>T("程大昌")</f>
        <v>程大昌</v>
      </c>
      <c r="E1126" s="3" t="str">
        <f>T("河南大象")</f>
        <v>河南大象</v>
      </c>
      <c r="F1126" s="3">
        <v>414</v>
      </c>
      <c r="G1126" s="3">
        <v>2484</v>
      </c>
    </row>
    <row r="1127" spans="1:7" ht="14.25">
      <c r="A1127" s="3" t="str">
        <f>T("53475034")</f>
        <v>53475034</v>
      </c>
      <c r="B1127" s="14" t="s">
        <v>5606</v>
      </c>
      <c r="C1127" s="3" t="s">
        <v>1132</v>
      </c>
      <c r="D1127" s="3" t="str">
        <f>T("尋根雜誌")</f>
        <v>尋根雜誌</v>
      </c>
      <c r="E1127" s="3" t="str">
        <f>T("大象")</f>
        <v>大象</v>
      </c>
      <c r="F1127" s="3">
        <v>60</v>
      </c>
      <c r="G1127" s="3">
        <v>360</v>
      </c>
    </row>
    <row r="1128" spans="1:7" ht="14.25">
      <c r="A1128" s="3" t="str">
        <f>T("53475102")</f>
        <v>53475102</v>
      </c>
      <c r="B1128" s="14" t="s">
        <v>5609</v>
      </c>
      <c r="C1128" s="3" t="s">
        <v>1133</v>
      </c>
      <c r="D1128" s="3" t="str">
        <f>T("傅璿宗")</f>
        <v>傅璿宗</v>
      </c>
      <c r="E1128" s="3" t="str">
        <f>T("河南大象")</f>
        <v>河南大象</v>
      </c>
      <c r="F1128" s="3">
        <v>38</v>
      </c>
      <c r="G1128" s="3">
        <v>228</v>
      </c>
    </row>
    <row r="1129" spans="1:7" ht="14.25">
      <c r="A1129" s="3" t="str">
        <f>T("53475339")</f>
        <v>53475339</v>
      </c>
      <c r="B1129" s="14" t="s">
        <v>5612</v>
      </c>
      <c r="C1129" s="3" t="s">
        <v>1134</v>
      </c>
      <c r="D1129" s="3" t="str">
        <f>T("楊希武")</f>
        <v>楊希武</v>
      </c>
      <c r="E1129" s="3" t="str">
        <f>T("大象")</f>
        <v>大象</v>
      </c>
      <c r="F1129" s="3">
        <v>29.8</v>
      </c>
      <c r="G1129" s="3">
        <v>179</v>
      </c>
    </row>
    <row r="1130" spans="1:7" ht="14.25">
      <c r="A1130" s="3" t="str">
        <f>T("53475677")</f>
        <v>53475677</v>
      </c>
      <c r="B1130" s="14" t="s">
        <v>5615</v>
      </c>
      <c r="C1130" s="3" t="s">
        <v>1135</v>
      </c>
      <c r="D1130" s="3" t="str">
        <f>T("臧嶸")</f>
        <v>臧嶸</v>
      </c>
      <c r="E1130" s="3" t="str">
        <f>T("大象")</f>
        <v>大象</v>
      </c>
      <c r="F1130" s="3">
        <v>13.8</v>
      </c>
      <c r="G1130" s="3">
        <v>83</v>
      </c>
    </row>
    <row r="1131" spans="1:7" ht="14.25">
      <c r="A1131" s="3" t="str">
        <f>T("53475696")</f>
        <v>53475696</v>
      </c>
      <c r="B1131" s="14" t="s">
        <v>5618</v>
      </c>
      <c r="C1131" s="3" t="s">
        <v>1136</v>
      </c>
      <c r="D1131" s="3" t="str">
        <f>T("李輝")</f>
        <v>李輝</v>
      </c>
      <c r="E1131" s="3" t="str">
        <f>T("大象")</f>
        <v>大象</v>
      </c>
      <c r="F1131" s="3">
        <v>9.5</v>
      </c>
      <c r="G1131" s="3">
        <v>57</v>
      </c>
    </row>
    <row r="1132" spans="1:7" ht="14.25">
      <c r="A1132" s="3" t="str">
        <f>T("53475702")</f>
        <v>53475702</v>
      </c>
      <c r="B1132" s="14" t="s">
        <v>5620</v>
      </c>
      <c r="C1132" s="3" t="s">
        <v>1137</v>
      </c>
      <c r="D1132" s="3" t="str">
        <f>T("李輝")</f>
        <v>李輝</v>
      </c>
      <c r="E1132" s="3" t="str">
        <f>T("大象")</f>
        <v>大象</v>
      </c>
      <c r="F1132" s="3">
        <v>12.6</v>
      </c>
      <c r="G1132" s="3">
        <v>76</v>
      </c>
    </row>
    <row r="1133" spans="1:7" ht="14.25">
      <c r="A1133" s="3" t="str">
        <f>T("53475717")</f>
        <v>53475717</v>
      </c>
      <c r="B1133" s="14" t="s">
        <v>5622</v>
      </c>
      <c r="C1133" s="3" t="s">
        <v>1138</v>
      </c>
      <c r="D1133" s="3" t="str">
        <f>T("鄭劭榮. 編")</f>
        <v>鄭劭榮. 編</v>
      </c>
      <c r="E1133" s="3" t="str">
        <f>T("大象")</f>
        <v>大象</v>
      </c>
      <c r="F1133" s="3">
        <v>52</v>
      </c>
      <c r="G1133" s="3">
        <v>312</v>
      </c>
    </row>
    <row r="1134" spans="1:7" ht="14.25">
      <c r="A1134" s="3" t="str">
        <f>T("53475743")</f>
        <v>53475743</v>
      </c>
      <c r="B1134" s="14" t="s">
        <v>5625</v>
      </c>
      <c r="C1134" s="3" t="s">
        <v>1139</v>
      </c>
      <c r="D1134" s="3" t="str">
        <f>T("王向陽")</f>
        <v>王向陽</v>
      </c>
      <c r="E1134" s="3" t="str">
        <f>T("大象")</f>
        <v>大象</v>
      </c>
      <c r="F1134" s="3">
        <v>39</v>
      </c>
      <c r="G1134" s="3">
        <v>234</v>
      </c>
    </row>
    <row r="1135" spans="1:7" ht="14.25">
      <c r="A1135" s="3" t="str">
        <f>T("53475807")</f>
        <v>53475807</v>
      </c>
      <c r="B1135" s="14" t="s">
        <v>5628</v>
      </c>
      <c r="C1135" s="3" t="s">
        <v>1140</v>
      </c>
      <c r="D1135" s="3" t="str">
        <f>T("錢君匋. 主編")</f>
        <v>錢君匋. 主編</v>
      </c>
      <c r="E1135" s="3" t="str">
        <f>T("大象")</f>
        <v>大象</v>
      </c>
      <c r="F1135" s="3">
        <v>9.5</v>
      </c>
      <c r="G1135" s="3">
        <v>57</v>
      </c>
    </row>
    <row r="1136" spans="1:7" ht="14.25">
      <c r="A1136" s="3" t="str">
        <f>T("53475860")</f>
        <v>53475860</v>
      </c>
      <c r="B1136" s="14" t="s">
        <v>5631</v>
      </c>
      <c r="C1136" s="3" t="s">
        <v>1141</v>
      </c>
      <c r="D1136" s="3" t="str">
        <f>T("於茂世. 編")</f>
        <v>於茂世. 編</v>
      </c>
      <c r="E1136" s="3" t="str">
        <f>T("大象")</f>
        <v>大象</v>
      </c>
      <c r="F1136" s="3">
        <v>18</v>
      </c>
      <c r="G1136" s="3">
        <v>108</v>
      </c>
    </row>
    <row r="1137" spans="1:7" ht="14.25">
      <c r="A1137" s="3" t="str">
        <f>T("53482591")</f>
        <v>53482591</v>
      </c>
      <c r="B1137" s="14" t="s">
        <v>5634</v>
      </c>
      <c r="C1137" s="3" t="s">
        <v>1142</v>
      </c>
      <c r="D1137" s="3" t="str">
        <f>T("馮驥才主編")</f>
        <v>馮驥才主編</v>
      </c>
      <c r="E1137" s="3" t="str">
        <f>T("中州古籍")</f>
        <v>中州古籍</v>
      </c>
      <c r="F1137" s="3">
        <v>38</v>
      </c>
      <c r="G1137" s="3">
        <v>228</v>
      </c>
    </row>
    <row r="1138" spans="1:7" ht="14.25">
      <c r="A1138" s="3" t="str">
        <f>T("53482772")</f>
        <v>53482772</v>
      </c>
      <c r="B1138" s="14" t="s">
        <v>5638</v>
      </c>
      <c r="C1138" s="3" t="s">
        <v>1143</v>
      </c>
      <c r="D1138" s="3" t="str">
        <f>T("張研編.黎平著")</f>
        <v>張研編.黎平著</v>
      </c>
      <c r="E1138" s="3" t="str">
        <f>T("中州古籍")</f>
        <v>中州古籍</v>
      </c>
      <c r="F1138" s="3">
        <v>20</v>
      </c>
      <c r="G1138" s="3">
        <v>120</v>
      </c>
    </row>
    <row r="1139" spans="1:7" ht="14.25">
      <c r="A1139" s="3" t="str">
        <f>T("53482773")</f>
        <v>53482773</v>
      </c>
      <c r="B1139" s="14" t="s">
        <v>5641</v>
      </c>
      <c r="C1139" s="3" t="s">
        <v>1144</v>
      </c>
      <c r="D1139" s="3" t="str">
        <f>T("張研編.穆之著")</f>
        <v>張研編.穆之著</v>
      </c>
      <c r="E1139" s="3" t="str">
        <f>T("中州古籍")</f>
        <v>中州古籍</v>
      </c>
      <c r="F1139" s="3">
        <v>20</v>
      </c>
      <c r="G1139" s="3">
        <v>120</v>
      </c>
    </row>
    <row r="1140" spans="1:7" ht="14.25">
      <c r="A1140" s="3" t="str">
        <f>T("53482774")</f>
        <v>53482774</v>
      </c>
      <c r="B1140" s="14" t="s">
        <v>5644</v>
      </c>
      <c r="C1140" s="3" t="s">
        <v>1145</v>
      </c>
      <c r="D1140" s="3" t="str">
        <f>T("張研編.曉曼著")</f>
        <v>張研編.曉曼著</v>
      </c>
      <c r="E1140" s="3" t="str">
        <f>T("中州古籍")</f>
        <v>中州古籍</v>
      </c>
      <c r="F1140" s="3">
        <v>20</v>
      </c>
      <c r="G1140" s="3">
        <v>120</v>
      </c>
    </row>
    <row r="1141" spans="1:7" ht="14.25">
      <c r="A1141" s="3" t="str">
        <f>T("53482775")</f>
        <v>53482775</v>
      </c>
      <c r="B1141" s="14" t="s">
        <v>5647</v>
      </c>
      <c r="C1141" s="3" t="s">
        <v>1146</v>
      </c>
      <c r="D1141" s="3" t="str">
        <f>T("張研編.徐妍著")</f>
        <v>張研編.徐妍著</v>
      </c>
      <c r="E1141" s="3" t="str">
        <f>T("中州古籍")</f>
        <v>中州古籍</v>
      </c>
      <c r="F1141" s="3">
        <v>20</v>
      </c>
      <c r="G1141" s="3">
        <v>120</v>
      </c>
    </row>
    <row r="1142" spans="1:7" ht="14.25">
      <c r="A1142" s="3" t="str">
        <f>T("53482776")</f>
        <v>53482776</v>
      </c>
      <c r="B1142" s="14" t="s">
        <v>5650</v>
      </c>
      <c r="C1142" s="3" t="s">
        <v>1147</v>
      </c>
      <c r="D1142" s="3" t="str">
        <f>T("張研編.林娜著")</f>
        <v>張研編.林娜著</v>
      </c>
      <c r="E1142" s="3" t="str">
        <f>T("中州古籍")</f>
        <v>中州古籍</v>
      </c>
      <c r="F1142" s="3">
        <v>20</v>
      </c>
      <c r="G1142" s="3">
        <v>120</v>
      </c>
    </row>
    <row r="1143" spans="1:7" ht="14.25">
      <c r="A1143" s="3" t="str">
        <f>T("53482777")</f>
        <v>53482777</v>
      </c>
      <c r="B1143" s="14" t="s">
        <v>5653</v>
      </c>
      <c r="C1143" s="3" t="s">
        <v>1148</v>
      </c>
      <c r="D1143" s="3" t="str">
        <f>T("張研編.王聰明著")</f>
        <v>張研編.王聰明著</v>
      </c>
      <c r="E1143" s="3" t="str">
        <f>T("中州古籍")</f>
        <v>中州古籍</v>
      </c>
      <c r="F1143" s="3">
        <v>20</v>
      </c>
      <c r="G1143" s="3">
        <v>120</v>
      </c>
    </row>
    <row r="1144" spans="1:7" ht="14.25">
      <c r="A1144" s="3" t="str">
        <f>T("53482778")</f>
        <v>53482778</v>
      </c>
      <c r="B1144" s="14" t="s">
        <v>5656</v>
      </c>
      <c r="C1144" s="3" t="s">
        <v>1149</v>
      </c>
      <c r="D1144" s="3" t="str">
        <f>T("張研編.李強著")</f>
        <v>張研編.李強著</v>
      </c>
      <c r="E1144" s="3" t="str">
        <f>T("中州古籍")</f>
        <v>中州古籍</v>
      </c>
      <c r="F1144" s="3">
        <v>20</v>
      </c>
      <c r="G1144" s="3">
        <v>120</v>
      </c>
    </row>
    <row r="1145" spans="1:7" ht="14.25">
      <c r="A1145" s="3" t="str">
        <f>T("53482780")</f>
        <v>53482780</v>
      </c>
      <c r="B1145" s="14" t="s">
        <v>5659</v>
      </c>
      <c r="C1145" s="3" t="s">
        <v>1150</v>
      </c>
      <c r="D1145" s="3" t="str">
        <f>T("張研編.連晶晶著")</f>
        <v>張研編.連晶晶著</v>
      </c>
      <c r="E1145" s="3" t="str">
        <f>T("中州古籍")</f>
        <v>中州古籍</v>
      </c>
      <c r="F1145" s="3">
        <v>20</v>
      </c>
      <c r="G1145" s="3">
        <v>120</v>
      </c>
    </row>
    <row r="1146" spans="1:7" ht="14.25">
      <c r="A1146" s="3" t="str">
        <f>T("53482781")</f>
        <v>53482781</v>
      </c>
      <c r="B1146" s="14" t="s">
        <v>5662</v>
      </c>
      <c r="C1146" s="3" t="s">
        <v>1151</v>
      </c>
      <c r="D1146" s="3" t="str">
        <f>T("鄧玉娜")</f>
        <v>鄧玉娜</v>
      </c>
      <c r="E1146" s="3" t="str">
        <f>T("中州古籍")</f>
        <v>中州古籍</v>
      </c>
      <c r="F1146" s="3">
        <v>20</v>
      </c>
      <c r="G1146" s="3">
        <v>120</v>
      </c>
    </row>
    <row r="1147" spans="1:7" ht="14.25">
      <c r="A1147" s="3" t="str">
        <f>T("53483013")</f>
        <v>53483013</v>
      </c>
      <c r="B1147" s="14" t="s">
        <v>5665</v>
      </c>
      <c r="C1147" s="3" t="s">
        <v>1152</v>
      </c>
      <c r="D1147" s="3" t="str">
        <f>T("朱和平")</f>
        <v>朱和平</v>
      </c>
      <c r="E1147" s="3" t="str">
        <f>T("中州古籍")</f>
        <v>中州古籍</v>
      </c>
      <c r="F1147" s="3">
        <v>100</v>
      </c>
      <c r="G1147" s="3">
        <v>600</v>
      </c>
    </row>
    <row r="1148" spans="1:7" ht="14.25">
      <c r="A1148" s="3" t="str">
        <f>T("53483155")</f>
        <v>53483155</v>
      </c>
      <c r="B1148" s="14" t="s">
        <v>5668</v>
      </c>
      <c r="C1148" s="3" t="s">
        <v>1153</v>
      </c>
      <c r="D1148" s="3" t="str">
        <f>T("張春沛")</f>
        <v>張春沛</v>
      </c>
      <c r="E1148" s="3" t="str">
        <f>T("中州古籍")</f>
        <v>中州古籍</v>
      </c>
      <c r="F1148" s="3">
        <v>38</v>
      </c>
      <c r="G1148" s="3">
        <v>228</v>
      </c>
    </row>
    <row r="1149" spans="1:7" ht="14.25">
      <c r="A1149" s="3" t="str">
        <f>T("53483215")</f>
        <v>53483215</v>
      </c>
      <c r="B1149" s="14" t="s">
        <v>5671</v>
      </c>
      <c r="C1149" s="3" t="s">
        <v>1154</v>
      </c>
      <c r="D1149" s="3" t="str">
        <f>T("陳清茹")</f>
        <v>陳清茹</v>
      </c>
      <c r="E1149" s="3" t="str">
        <f>T("中州古籍")</f>
        <v>中州古籍</v>
      </c>
      <c r="F1149" s="3">
        <v>25</v>
      </c>
      <c r="G1149" s="3">
        <v>150</v>
      </c>
    </row>
    <row r="1150" spans="1:7" ht="14.25">
      <c r="A1150" s="3" t="str">
        <f>T("53483319")</f>
        <v>53483319</v>
      </c>
      <c r="B1150" s="14" t="s">
        <v>5674</v>
      </c>
      <c r="C1150" s="3" t="s">
        <v>1155</v>
      </c>
      <c r="D1150" s="3" t="str">
        <f>T("蘇轍")</f>
        <v>蘇轍</v>
      </c>
      <c r="E1150" s="3" t="str">
        <f>T("中州古籍")</f>
        <v>中州古籍</v>
      </c>
      <c r="F1150" s="3">
        <v>20</v>
      </c>
      <c r="G1150" s="3">
        <v>120</v>
      </c>
    </row>
    <row r="1151" spans="1:7" ht="14.25">
      <c r="A1151" s="3" t="str">
        <f>T("53483342")</f>
        <v>53483342</v>
      </c>
      <c r="B1151" s="14" t="s">
        <v>5677</v>
      </c>
      <c r="C1151" s="3" t="s">
        <v>1156</v>
      </c>
      <c r="D1151" s="3" t="str">
        <f>T("印光")</f>
        <v>印光</v>
      </c>
      <c r="E1151" s="3" t="str">
        <f>T("中州古籍")</f>
        <v>中州古籍</v>
      </c>
      <c r="F1151" s="3">
        <v>980</v>
      </c>
      <c r="G1151" s="3">
        <v>5880</v>
      </c>
    </row>
    <row r="1152" spans="1:7" ht="14.25">
      <c r="A1152" s="3" t="str">
        <f>T("53543423")</f>
        <v>53543423</v>
      </c>
      <c r="B1152" s="14" t="s">
        <v>5680</v>
      </c>
      <c r="C1152" s="3" t="s">
        <v>1157</v>
      </c>
      <c r="D1152" s="3" t="str">
        <f>T("曾子墨")</f>
        <v>曾子墨</v>
      </c>
      <c r="E1152" s="3" t="str">
        <f>T("長江文藝")</f>
        <v>長江文藝</v>
      </c>
      <c r="F1152" s="3">
        <v>22</v>
      </c>
      <c r="G1152" s="3">
        <v>132</v>
      </c>
    </row>
    <row r="1153" spans="1:7" ht="14.25">
      <c r="A1153" s="3" t="str">
        <f>T("53543510")</f>
        <v>53543510</v>
      </c>
      <c r="B1153" s="14" t="s">
        <v>5684</v>
      </c>
      <c r="C1153" s="3" t="s">
        <v>1158</v>
      </c>
      <c r="D1153" s="3" t="str">
        <f>T("孔慶東")</f>
        <v>孔慶東</v>
      </c>
      <c r="E1153" s="3" t="str">
        <f>T("長江文藝")</f>
        <v>長江文藝</v>
      </c>
      <c r="F1153" s="3">
        <v>25</v>
      </c>
      <c r="G1153" s="3">
        <v>150</v>
      </c>
    </row>
    <row r="1154" spans="1:7" ht="14.25">
      <c r="A1154" s="3" t="str">
        <f>T("53543659")</f>
        <v>53543659</v>
      </c>
      <c r="B1154" s="14" t="s">
        <v>5687</v>
      </c>
      <c r="C1154" s="3" t="s">
        <v>1159</v>
      </c>
      <c r="D1154" s="3" t="str">
        <f>T("符號")</f>
        <v>符號</v>
      </c>
      <c r="E1154" s="3" t="str">
        <f>T("長江文藝")</f>
        <v>長江文藝</v>
      </c>
      <c r="F1154" s="3">
        <v>25</v>
      </c>
      <c r="G1154" s="3">
        <v>150</v>
      </c>
    </row>
    <row r="1155" spans="1:7" ht="14.25">
      <c r="A1155" s="3" t="str">
        <f>T("53543770")</f>
        <v>53543770</v>
      </c>
      <c r="B1155" s="14" t="s">
        <v>5690</v>
      </c>
      <c r="C1155" s="3" t="s">
        <v>1160</v>
      </c>
      <c r="D1155" s="3" t="str">
        <f>T("(荷蘭)(Ray Kluun)瑞·科倫")</f>
        <v>(荷蘭)(Ray Kluun)瑞·科倫</v>
      </c>
      <c r="E1155" s="3" t="str">
        <f>T("長江文藝")</f>
        <v>長江文藝</v>
      </c>
      <c r="F1155" s="3">
        <v>28</v>
      </c>
      <c r="G1155" s="3">
        <v>168</v>
      </c>
    </row>
    <row r="1156" spans="1:7" ht="14.25">
      <c r="A1156" s="3" t="str">
        <f>T("53543858")</f>
        <v>53543858</v>
      </c>
      <c r="B1156" s="14" t="s">
        <v>5693</v>
      </c>
      <c r="C1156" s="3" t="s">
        <v>1161</v>
      </c>
      <c r="D1156" s="3" t="str">
        <f>T("嚴家炎著")</f>
        <v>嚴家炎著</v>
      </c>
      <c r="E1156" s="3" t="str">
        <f>T("長江文藝")</f>
        <v>長江文藝</v>
      </c>
      <c r="F1156" s="3">
        <v>30</v>
      </c>
      <c r="G1156" s="3">
        <v>180</v>
      </c>
    </row>
    <row r="1157" spans="1:7" ht="14.25">
      <c r="A1157" s="3" t="str">
        <f>T("53544113")</f>
        <v>53544113</v>
      </c>
      <c r="B1157" s="14" t="s">
        <v>5696</v>
      </c>
      <c r="C1157" s="3" t="s">
        <v>1162</v>
      </c>
      <c r="D1157" s="3" t="str">
        <f>T("盧麗莉著")</f>
        <v>盧麗莉著</v>
      </c>
      <c r="E1157" s="3" t="str">
        <f>T("長江文藝")</f>
        <v>長江文藝</v>
      </c>
      <c r="F1157" s="3">
        <v>24.8</v>
      </c>
      <c r="G1157" s="3">
        <v>149</v>
      </c>
    </row>
    <row r="1158" spans="1:7" ht="14.25">
      <c r="A1158" s="3" t="str">
        <f>T("53544254")</f>
        <v>53544254</v>
      </c>
      <c r="B1158" s="14" t="s">
        <v>5699</v>
      </c>
      <c r="C1158" s="3" t="s">
        <v>1163</v>
      </c>
      <c r="D1158" s="3" t="str">
        <f>T("中國協作")</f>
        <v>中國協作</v>
      </c>
      <c r="E1158" s="3" t="str">
        <f>T("長江文藝")</f>
        <v>長江文藝</v>
      </c>
      <c r="F1158" s="3">
        <v>30</v>
      </c>
      <c r="G1158" s="3">
        <v>180</v>
      </c>
    </row>
    <row r="1159" spans="1:7" ht="14.25">
      <c r="A1159" s="3" t="str">
        <f>T("53544405")</f>
        <v>53544405</v>
      </c>
      <c r="B1159" s="14" t="s">
        <v>5702</v>
      </c>
      <c r="C1159" s="3" t="s">
        <v>1164</v>
      </c>
      <c r="D1159" s="3" t="str">
        <f>T("林培源. 著")</f>
        <v>林培源. 著</v>
      </c>
      <c r="E1159" s="3" t="str">
        <f>T("長江文藝")</f>
        <v>長江文藝</v>
      </c>
      <c r="F1159" s="3">
        <v>24.8</v>
      </c>
      <c r="G1159" s="3">
        <v>149</v>
      </c>
    </row>
    <row r="1160" spans="1:7" ht="14.25">
      <c r="A1160" s="3" t="str">
        <f>T("53554817")</f>
        <v>53554817</v>
      </c>
      <c r="B1160" s="14" t="s">
        <v>5705</v>
      </c>
      <c r="C1160" s="3" t="s">
        <v>1165</v>
      </c>
      <c r="D1160" s="3" t="str">
        <f>T("金波")</f>
        <v>金波</v>
      </c>
      <c r="E1160" s="3" t="str">
        <f>T("湖南教育")</f>
        <v>湖南教育</v>
      </c>
      <c r="F1160" s="3">
        <v>18</v>
      </c>
      <c r="G1160" s="3">
        <v>108</v>
      </c>
    </row>
    <row r="1161" spans="1:7" ht="14.25">
      <c r="A1161" s="3" t="str">
        <f>T("53562583")</f>
        <v>53562583</v>
      </c>
      <c r="B1161" s="14" t="s">
        <v>5709</v>
      </c>
      <c r="C1161" s="3" t="s">
        <v>1166</v>
      </c>
      <c r="D1161" s="3" t="str">
        <f>T(".")</f>
        <v>.</v>
      </c>
      <c r="E1161" s="3" t="str">
        <f>T("湖南美術")</f>
        <v>湖南美術</v>
      </c>
      <c r="F1161" s="3">
        <v>80</v>
      </c>
      <c r="G1161" s="3">
        <v>480</v>
      </c>
    </row>
    <row r="1162" spans="1:7" ht="14.25">
      <c r="A1162" s="3" t="str">
        <f>T("53563414")</f>
        <v>53563414</v>
      </c>
      <c r="B1162" s="14" t="s">
        <v>5712</v>
      </c>
      <c r="C1162" s="3" t="s">
        <v>1167</v>
      </c>
      <c r="D1162" s="3" t="str">
        <f>T("許煥崗")</f>
        <v>許煥崗</v>
      </c>
      <c r="E1162" s="3" t="str">
        <f>T("湖南美術")</f>
        <v>湖南美術</v>
      </c>
      <c r="F1162" s="3">
        <v>58</v>
      </c>
      <c r="G1162" s="3">
        <v>348</v>
      </c>
    </row>
    <row r="1163" spans="1:7" ht="14.25">
      <c r="A1163" s="3" t="str">
        <f>T("53576126")</f>
        <v>53576126</v>
      </c>
      <c r="B1163" s="14" t="s">
        <v>5715</v>
      </c>
      <c r="C1163" s="3" t="s">
        <v>1168</v>
      </c>
      <c r="D1163" s="3" t="str">
        <f>T("克拉福特")</f>
        <v>克拉福特</v>
      </c>
      <c r="E1163" s="3" t="str">
        <f>T("湖南科學")</f>
        <v>湖南科學</v>
      </c>
      <c r="F1163" s="3">
        <v>20</v>
      </c>
      <c r="G1163" s="3">
        <v>120</v>
      </c>
    </row>
    <row r="1164" spans="1:7" ht="14.25">
      <c r="A1164" s="3" t="str">
        <f>T("53583856")</f>
        <v>53583856</v>
      </c>
      <c r="B1164" s="14" t="s">
        <v>5719</v>
      </c>
      <c r="C1164" s="3" t="s">
        <v>1169</v>
      </c>
      <c r="D1164" s="3" t="str">
        <f>T("編者")</f>
        <v>編者</v>
      </c>
      <c r="E1164" s="3" t="str">
        <f>T("湖南少兒")</f>
        <v>湖南少兒</v>
      </c>
      <c r="F1164" s="3">
        <v>24</v>
      </c>
      <c r="G1164" s="3">
        <v>144</v>
      </c>
    </row>
    <row r="1165" spans="1:7" ht="14.25">
      <c r="A1165" s="3" t="str">
        <f>T("53583857")</f>
        <v>53583857</v>
      </c>
      <c r="B1165" s="14" t="s">
        <v>5723</v>
      </c>
      <c r="C1165" s="3" t="s">
        <v>1170</v>
      </c>
      <c r="D1165" s="3" t="str">
        <f>T("薑鵬")</f>
        <v>薑鵬</v>
      </c>
      <c r="E1165" s="3" t="str">
        <f>T("湖南少兒")</f>
        <v>湖南少兒</v>
      </c>
      <c r="F1165" s="3">
        <v>24</v>
      </c>
      <c r="G1165" s="3">
        <v>144</v>
      </c>
    </row>
    <row r="1166" spans="1:7" ht="14.25">
      <c r="A1166" s="3" t="str">
        <f>T("53584812")</f>
        <v>53584812</v>
      </c>
      <c r="B1166" s="14" t="s">
        <v>5726</v>
      </c>
      <c r="C1166" s="3" t="s">
        <v>1171</v>
      </c>
      <c r="D1166" s="3" t="str">
        <f>T("駱承烈")</f>
        <v>駱承烈</v>
      </c>
      <c r="E1166" s="3" t="str">
        <f>T("湖南少兒")</f>
        <v>湖南少兒</v>
      </c>
      <c r="F1166" s="3">
        <v>10.8</v>
      </c>
      <c r="G1166" s="3">
        <v>65</v>
      </c>
    </row>
    <row r="1167" spans="1:7" ht="14.25">
      <c r="A1167" s="3" t="str">
        <f>T("53604998")</f>
        <v>53604998</v>
      </c>
      <c r="B1167" s="14" t="s">
        <v>5729</v>
      </c>
      <c r="C1167" s="3" t="s">
        <v>1172</v>
      </c>
      <c r="D1167" s="3" t="str">
        <f>T("沈展雲")</f>
        <v>沈展雲</v>
      </c>
      <c r="E1167" s="3" t="str">
        <f>T("花城")</f>
        <v>花城</v>
      </c>
      <c r="F1167" s="3">
        <v>28</v>
      </c>
      <c r="G1167" s="3">
        <v>168</v>
      </c>
    </row>
    <row r="1168" spans="1:7" ht="14.25">
      <c r="A1168" s="3" t="str">
        <f>T("53605527")</f>
        <v>53605527</v>
      </c>
      <c r="B1168" s="14" t="s">
        <v>5733</v>
      </c>
      <c r="C1168" s="3" t="s">
        <v>1173</v>
      </c>
      <c r="D1168" s="3" t="str">
        <f>T("曹建")</f>
        <v>曹建</v>
      </c>
      <c r="E1168" s="3" t="str">
        <f>T("花城")</f>
        <v>花城</v>
      </c>
      <c r="F1168" s="3">
        <v>30</v>
      </c>
      <c r="G1168" s="3">
        <v>180</v>
      </c>
    </row>
    <row r="1169" spans="1:7" ht="14.25">
      <c r="A1169" s="3" t="str">
        <f>T("53605528")</f>
        <v>53605528</v>
      </c>
      <c r="B1169" s="14" t="s">
        <v>5736</v>
      </c>
      <c r="C1169" s="3" t="s">
        <v>1174</v>
      </c>
      <c r="D1169" s="3" t="str">
        <f>T("姚義斌")</f>
        <v>姚義斌</v>
      </c>
      <c r="E1169" s="3" t="str">
        <f>T("花城")</f>
        <v>花城</v>
      </c>
      <c r="F1169" s="3">
        <v>30</v>
      </c>
      <c r="G1169" s="3">
        <v>180</v>
      </c>
    </row>
    <row r="1170" spans="1:7" ht="14.25">
      <c r="A1170" s="3" t="str">
        <f>T("53605529")</f>
        <v>53605529</v>
      </c>
      <c r="B1170" s="14" t="s">
        <v>5739</v>
      </c>
      <c r="C1170" s="3" t="s">
        <v>1175</v>
      </c>
      <c r="D1170" s="3" t="str">
        <f>T("劉長庚")</f>
        <v>劉長庚</v>
      </c>
      <c r="E1170" s="3" t="str">
        <f>T("花城")</f>
        <v>花城</v>
      </c>
      <c r="F1170" s="3">
        <v>30</v>
      </c>
      <c r="G1170" s="3">
        <v>180</v>
      </c>
    </row>
    <row r="1171" spans="1:7" ht="14.25">
      <c r="A1171" s="3" t="str">
        <f>T("53605533")</f>
        <v>53605533</v>
      </c>
      <c r="B1171" s="14" t="s">
        <v>5742</v>
      </c>
      <c r="C1171" s="3" t="s">
        <v>1176</v>
      </c>
      <c r="D1171" s="3" t="str">
        <f>T("周振華")</f>
        <v>周振華</v>
      </c>
      <c r="E1171" s="3" t="str">
        <f>T("花城")</f>
        <v>花城</v>
      </c>
      <c r="F1171" s="3">
        <v>33</v>
      </c>
      <c r="G1171" s="3">
        <v>198</v>
      </c>
    </row>
    <row r="1172" spans="1:7" ht="14.25">
      <c r="A1172" s="3" t="str">
        <f>T("53605831")</f>
        <v>53605831</v>
      </c>
      <c r="B1172" s="14" t="s">
        <v>5745</v>
      </c>
      <c r="C1172" s="3" t="s">
        <v>1177</v>
      </c>
      <c r="D1172" s="3" t="str">
        <f>T("當當著")</f>
        <v>當當著</v>
      </c>
      <c r="E1172" s="3" t="str">
        <f>T("花城")</f>
        <v>花城</v>
      </c>
      <c r="F1172" s="3">
        <v>48</v>
      </c>
      <c r="G1172" s="3">
        <v>288</v>
      </c>
    </row>
    <row r="1173" spans="1:7" ht="14.25">
      <c r="A1173" s="3" t="str">
        <f>T("53623780")</f>
        <v>53623780</v>
      </c>
      <c r="B1173" s="14" t="s">
        <v>5748</v>
      </c>
      <c r="C1173" s="3" t="s">
        <v>1178</v>
      </c>
      <c r="D1173" s="3" t="str">
        <f>T("何香凝美術館編")</f>
        <v>何香凝美術館編</v>
      </c>
      <c r="E1173" s="3" t="str">
        <f>T("嶺南美術")</f>
        <v>嶺南美術</v>
      </c>
      <c r="F1173" s="3">
        <v>120</v>
      </c>
      <c r="G1173" s="3">
        <v>720</v>
      </c>
    </row>
    <row r="1174" spans="1:7" ht="14.25">
      <c r="A1174" s="3" t="str">
        <f>T("53624267")</f>
        <v>53624267</v>
      </c>
      <c r="B1174" s="14" t="s">
        <v>5752</v>
      </c>
      <c r="C1174" s="3" t="s">
        <v>1179</v>
      </c>
      <c r="D1174" s="3" t="str">
        <f>T("姚志彬. 著")</f>
        <v>姚志彬. 著</v>
      </c>
      <c r="E1174" s="3" t="str">
        <f>T("嶺南美術")</f>
        <v>嶺南美術</v>
      </c>
      <c r="F1174" s="3">
        <v>38</v>
      </c>
      <c r="G1174" s="3">
        <v>228</v>
      </c>
    </row>
    <row r="1175" spans="1:7" ht="14.25">
      <c r="A1175" s="3" t="str">
        <f>T("53664970")</f>
        <v>53664970</v>
      </c>
      <c r="B1175" s="14" t="s">
        <v>5755</v>
      </c>
      <c r="C1175" s="3" t="s">
        <v>1180</v>
      </c>
      <c r="D1175" s="3" t="str">
        <f>T("梁江")</f>
        <v>梁江</v>
      </c>
      <c r="E1175" s="3" t="str">
        <f>T("重慶")</f>
        <v>重慶</v>
      </c>
      <c r="F1175" s="3">
        <v>45</v>
      </c>
      <c r="G1175" s="3">
        <v>270</v>
      </c>
    </row>
    <row r="1176" spans="1:7" ht="14.25">
      <c r="A1176" s="3" t="str">
        <f>T("53666369")</f>
        <v>53666369</v>
      </c>
      <c r="B1176" s="14" t="s">
        <v>5758</v>
      </c>
      <c r="C1176" s="3" t="s">
        <v>1181</v>
      </c>
      <c r="D1176" s="3" t="str">
        <f>T("都大明")</f>
        <v>都大明</v>
      </c>
      <c r="E1176" s="3" t="str">
        <f>T("重慶")</f>
        <v>重慶</v>
      </c>
      <c r="F1176" s="3">
        <v>16.8</v>
      </c>
      <c r="G1176" s="3">
        <v>101</v>
      </c>
    </row>
    <row r="1177" spans="1:7" ht="14.25">
      <c r="A1177" s="3" t="str">
        <f>T("53668940")</f>
        <v>53668940</v>
      </c>
      <c r="B1177" s="14" t="s">
        <v>5761</v>
      </c>
      <c r="C1177" s="3" t="s">
        <v>1182</v>
      </c>
      <c r="D1177" s="3" t="str">
        <f>T("深水城")</f>
        <v>深水城</v>
      </c>
      <c r="E1177" s="3" t="str">
        <f>T("重慶")</f>
        <v>重慶</v>
      </c>
      <c r="F1177" s="3">
        <v>22</v>
      </c>
      <c r="G1177" s="3">
        <v>132</v>
      </c>
    </row>
    <row r="1178" spans="1:7" ht="14.25">
      <c r="A1178" s="3" t="str">
        <f>T("53669076")</f>
        <v>53669076</v>
      </c>
      <c r="B1178" s="14" t="s">
        <v>5764</v>
      </c>
      <c r="C1178" s="3" t="s">
        <v>1183</v>
      </c>
      <c r="D1178" s="3" t="str">
        <f>T("深水城")</f>
        <v>深水城</v>
      </c>
      <c r="E1178" s="3" t="str">
        <f>T("重慶")</f>
        <v>重慶</v>
      </c>
      <c r="F1178" s="3">
        <v>22</v>
      </c>
      <c r="G1178" s="3">
        <v>132</v>
      </c>
    </row>
    <row r="1179" spans="1:7" ht="14.25">
      <c r="A1179" s="3" t="str">
        <f>T("53669170")</f>
        <v>53669170</v>
      </c>
      <c r="B1179" s="14" t="s">
        <v>5766</v>
      </c>
      <c r="C1179" s="3" t="s">
        <v>1184</v>
      </c>
      <c r="D1179" s="3" t="str">
        <f>T("方敏")</f>
        <v>方敏</v>
      </c>
      <c r="E1179" s="3" t="str">
        <f>T("重慶")</f>
        <v>重慶</v>
      </c>
      <c r="F1179" s="3">
        <v>45</v>
      </c>
      <c r="G1179" s="3">
        <v>270</v>
      </c>
    </row>
    <row r="1180" spans="1:7" ht="14.25">
      <c r="A1180" s="3" t="str">
        <f>T("53669426")</f>
        <v>53669426</v>
      </c>
      <c r="B1180" s="14" t="s">
        <v>5769</v>
      </c>
      <c r="C1180" s="3" t="s">
        <v>1185</v>
      </c>
      <c r="D1180" s="3" t="str">
        <f>T("孔慶東")</f>
        <v>孔慶東</v>
      </c>
      <c r="E1180" s="3" t="str">
        <f>T("重慶")</f>
        <v>重慶</v>
      </c>
      <c r="F1180" s="3">
        <v>23</v>
      </c>
      <c r="G1180" s="3">
        <v>138</v>
      </c>
    </row>
    <row r="1181" spans="1:7" ht="14.25">
      <c r="A1181" s="3" t="str">
        <f>T("53705703")</f>
        <v>53705703</v>
      </c>
      <c r="B1181" s="14" t="s">
        <v>5771</v>
      </c>
      <c r="C1181" s="3" t="s">
        <v>1186</v>
      </c>
      <c r="D1181" s="3" t="str">
        <f>T("未建檔")</f>
        <v>未建檔</v>
      </c>
      <c r="E1181" s="3" t="str">
        <f>T("新疆教育")</f>
        <v>新疆教育</v>
      </c>
      <c r="F1181" s="3">
        <v>16</v>
      </c>
      <c r="G1181" s="3">
        <v>96</v>
      </c>
    </row>
    <row r="1182" spans="1:7" ht="14.25">
      <c r="A1182" s="3" t="str">
        <f>T("53706359")</f>
        <v>53706359</v>
      </c>
      <c r="B1182" s="14" t="s">
        <v>5774</v>
      </c>
      <c r="C1182" s="3" t="s">
        <v>1187</v>
      </c>
      <c r="D1182" s="3" t="str">
        <f>T("未建檔")</f>
        <v>未建檔</v>
      </c>
      <c r="E1182" s="3" t="str">
        <f>T("新疆美攝")</f>
        <v>新疆美攝</v>
      </c>
      <c r="F1182" s="3">
        <v>8</v>
      </c>
      <c r="G1182" s="3">
        <v>48</v>
      </c>
    </row>
    <row r="1183" spans="1:7" ht="14.25">
      <c r="A1183" s="3" t="str">
        <f>T("53706368")</f>
        <v>53706368</v>
      </c>
      <c r="B1183" s="14" t="s">
        <v>5777</v>
      </c>
      <c r="C1183" s="3" t="s">
        <v>1188</v>
      </c>
      <c r="D1183" s="3" t="str">
        <f>T("未建檔")</f>
        <v>未建檔</v>
      </c>
      <c r="E1183" s="3" t="str">
        <f>T("新疆美攝")</f>
        <v>新疆美攝</v>
      </c>
      <c r="F1183" s="3">
        <v>8</v>
      </c>
      <c r="G1183" s="3">
        <v>48</v>
      </c>
    </row>
    <row r="1184" spans="1:7" ht="14.25">
      <c r="A1184" s="3" t="str">
        <f>T("53707910")</f>
        <v>53707910</v>
      </c>
      <c r="B1184" s="14" t="s">
        <v>5779</v>
      </c>
      <c r="C1184" s="3" t="s">
        <v>1189</v>
      </c>
      <c r="D1184" s="3">
        <f>T("")</f>
      </c>
      <c r="E1184" s="3" t="str">
        <f>T("新疆教育")</f>
        <v>新疆教育</v>
      </c>
      <c r="F1184" s="3">
        <v>28</v>
      </c>
      <c r="G1184" s="3">
        <v>168</v>
      </c>
    </row>
    <row r="1185" spans="1:7" ht="14.25">
      <c r="A1185" s="3" t="str">
        <f>T("53707935")</f>
        <v>53707935</v>
      </c>
      <c r="B1185" s="14" t="s">
        <v>5781</v>
      </c>
      <c r="C1185" s="3" t="s">
        <v>1190</v>
      </c>
      <c r="D1185" s="3" t="str">
        <f>T("未建檔")</f>
        <v>未建檔</v>
      </c>
      <c r="E1185" s="3" t="str">
        <f>T("新疆教育")</f>
        <v>新疆教育</v>
      </c>
      <c r="F1185" s="3">
        <v>17</v>
      </c>
      <c r="G1185" s="3">
        <v>102</v>
      </c>
    </row>
    <row r="1186" spans="1:7" ht="14.25">
      <c r="A1186" s="3" t="str">
        <f>T("53707989")</f>
        <v>53707989</v>
      </c>
      <c r="B1186" s="14" t="s">
        <v>5783</v>
      </c>
      <c r="C1186" s="3" t="s">
        <v>1191</v>
      </c>
      <c r="D1186" s="3" t="str">
        <f>T("未建檔")</f>
        <v>未建檔</v>
      </c>
      <c r="E1186" s="3" t="str">
        <f>T("新疆教育")</f>
        <v>新疆教育</v>
      </c>
      <c r="F1186" s="3">
        <v>17</v>
      </c>
      <c r="G1186" s="3">
        <v>102</v>
      </c>
    </row>
    <row r="1187" spans="1:7" ht="14.25">
      <c r="A1187" s="3" t="str">
        <f>T("53708065")</f>
        <v>53708065</v>
      </c>
      <c r="B1187" s="14" t="s">
        <v>5785</v>
      </c>
      <c r="C1187" s="3" t="s">
        <v>1192</v>
      </c>
      <c r="D1187" s="3" t="str">
        <f>T("未建檔")</f>
        <v>未建檔</v>
      </c>
      <c r="E1187" s="3" t="str">
        <f>T("新疆教育")</f>
        <v>新疆教育</v>
      </c>
      <c r="F1187" s="3">
        <v>27.2</v>
      </c>
      <c r="G1187" s="3">
        <v>163</v>
      </c>
    </row>
    <row r="1188" spans="1:7" ht="14.25">
      <c r="A1188" s="3" t="str">
        <f>T("53708077")</f>
        <v>53708077</v>
      </c>
      <c r="B1188" s="14" t="s">
        <v>5787</v>
      </c>
      <c r="C1188" s="3" t="s">
        <v>1193</v>
      </c>
      <c r="D1188" s="3" t="str">
        <f>T("未建檔")</f>
        <v>未建檔</v>
      </c>
      <c r="E1188" s="3" t="str">
        <f>T("新疆教育")</f>
        <v>新疆教育</v>
      </c>
      <c r="F1188" s="3">
        <v>17</v>
      </c>
      <c r="G1188" s="3">
        <v>102</v>
      </c>
    </row>
    <row r="1189" spans="1:7" ht="14.25">
      <c r="A1189" s="3" t="str">
        <f>T("53708082")</f>
        <v>53708082</v>
      </c>
      <c r="B1189" s="14" t="s">
        <v>5789</v>
      </c>
      <c r="C1189" s="3" t="s">
        <v>1194</v>
      </c>
      <c r="D1189" s="3" t="str">
        <f>T("未建檔")</f>
        <v>未建檔</v>
      </c>
      <c r="E1189" s="3" t="str">
        <f>T("新疆教育")</f>
        <v>新疆教育</v>
      </c>
      <c r="F1189" s="3">
        <v>15.3</v>
      </c>
      <c r="G1189" s="3">
        <v>92</v>
      </c>
    </row>
    <row r="1190" spans="1:7" ht="14.25">
      <c r="A1190" s="3" t="str">
        <f>T("53714603B")</f>
        <v>53714603B</v>
      </c>
      <c r="B1190" s="14" t="s">
        <v>5791</v>
      </c>
      <c r="C1190" s="3" t="s">
        <v>1195</v>
      </c>
      <c r="D1190" s="3" t="str">
        <f>T("未建檔")</f>
        <v>未建檔</v>
      </c>
      <c r="E1190" s="3" t="str">
        <f>T("新疆青少年")</f>
        <v>新疆青少年</v>
      </c>
      <c r="F1190" s="3">
        <v>6.8</v>
      </c>
      <c r="G1190" s="3">
        <v>41</v>
      </c>
    </row>
    <row r="1191" spans="1:7" ht="14.25">
      <c r="A1191" s="3" t="str">
        <f>T("53714603C")</f>
        <v>53714603C</v>
      </c>
      <c r="B1191" s="14" t="s">
        <v>5791</v>
      </c>
      <c r="C1191" s="3" t="s">
        <v>1196</v>
      </c>
      <c r="D1191" s="3" t="str">
        <f>T("未建檔")</f>
        <v>未建檔</v>
      </c>
      <c r="E1191" s="3" t="str">
        <f>T("新疆青少年")</f>
        <v>新疆青少年</v>
      </c>
      <c r="F1191" s="3">
        <v>6.8</v>
      </c>
      <c r="G1191" s="3">
        <v>41</v>
      </c>
    </row>
    <row r="1192" spans="1:7" ht="14.25">
      <c r="A1192" s="3" t="str">
        <f>T("53714603D")</f>
        <v>53714603D</v>
      </c>
      <c r="B1192" s="14" t="s">
        <v>5791</v>
      </c>
      <c r="C1192" s="3" t="s">
        <v>1197</v>
      </c>
      <c r="D1192" s="3" t="str">
        <f>T("未建檔")</f>
        <v>未建檔</v>
      </c>
      <c r="E1192" s="3" t="str">
        <f>T("新疆青少年")</f>
        <v>新疆青少年</v>
      </c>
      <c r="F1192" s="3">
        <v>6.8</v>
      </c>
      <c r="G1192" s="3">
        <v>41</v>
      </c>
    </row>
    <row r="1193" spans="1:7" ht="14.25">
      <c r="A1193" s="3" t="str">
        <f>T("53714603F")</f>
        <v>53714603F</v>
      </c>
      <c r="B1193" s="14" t="s">
        <v>5791</v>
      </c>
      <c r="C1193" s="3" t="s">
        <v>1198</v>
      </c>
      <c r="D1193" s="3" t="str">
        <f>T("未建檔")</f>
        <v>未建檔</v>
      </c>
      <c r="E1193" s="3" t="str">
        <f>T("新疆青少年")</f>
        <v>新疆青少年</v>
      </c>
      <c r="F1193" s="3">
        <v>6.8</v>
      </c>
      <c r="G1193" s="3">
        <v>41</v>
      </c>
    </row>
    <row r="1194" spans="1:7" ht="14.25">
      <c r="A1194" s="3" t="str">
        <f>T("53714603G")</f>
        <v>53714603G</v>
      </c>
      <c r="B1194" s="14" t="s">
        <v>5791</v>
      </c>
      <c r="C1194" s="3" t="s">
        <v>1199</v>
      </c>
      <c r="D1194" s="3" t="str">
        <f>T("未建檔")</f>
        <v>未建檔</v>
      </c>
      <c r="E1194" s="3" t="str">
        <f>T("新疆青少年")</f>
        <v>新疆青少年</v>
      </c>
      <c r="F1194" s="3">
        <v>6.8</v>
      </c>
      <c r="G1194" s="3">
        <v>41</v>
      </c>
    </row>
    <row r="1195" spans="1:7" ht="14.25">
      <c r="A1195" s="3" t="str">
        <f>T("53714603I")</f>
        <v>53714603I</v>
      </c>
      <c r="B1195" s="14" t="s">
        <v>5791</v>
      </c>
      <c r="C1195" s="3" t="s">
        <v>1200</v>
      </c>
      <c r="D1195" s="3" t="str">
        <f>T("未建檔")</f>
        <v>未建檔</v>
      </c>
      <c r="E1195" s="3" t="str">
        <f>T("新疆青少年")</f>
        <v>新疆青少年</v>
      </c>
      <c r="F1195" s="3">
        <v>6.8</v>
      </c>
      <c r="G1195" s="3">
        <v>41</v>
      </c>
    </row>
    <row r="1196" spans="1:7" ht="14.25">
      <c r="A1196" s="3" t="str">
        <f>T("53714772A")</f>
        <v>53714772A</v>
      </c>
      <c r="B1196" s="14" t="s">
        <v>5798</v>
      </c>
      <c r="C1196" s="3" t="s">
        <v>1201</v>
      </c>
      <c r="D1196" s="3" t="str">
        <f>T("未建檔")</f>
        <v>未建檔</v>
      </c>
      <c r="E1196" s="3" t="str">
        <f>T("新疆青少年")</f>
        <v>新疆青少年</v>
      </c>
      <c r="F1196" s="3">
        <v>6.8</v>
      </c>
      <c r="G1196" s="3">
        <v>41</v>
      </c>
    </row>
    <row r="1197" spans="1:7" ht="14.25">
      <c r="A1197" s="3" t="str">
        <f>T("53714772B")</f>
        <v>53714772B</v>
      </c>
      <c r="B1197" s="14" t="s">
        <v>5798</v>
      </c>
      <c r="C1197" s="3" t="s">
        <v>1202</v>
      </c>
      <c r="D1197" s="3" t="str">
        <f>T("未建檔")</f>
        <v>未建檔</v>
      </c>
      <c r="E1197" s="3" t="str">
        <f>T("新疆青少年")</f>
        <v>新疆青少年</v>
      </c>
      <c r="F1197" s="3">
        <v>6.8</v>
      </c>
      <c r="G1197" s="3">
        <v>41</v>
      </c>
    </row>
    <row r="1198" spans="1:7" ht="14.25">
      <c r="A1198" s="3" t="str">
        <f>T("53714772C")</f>
        <v>53714772C</v>
      </c>
      <c r="B1198" s="14" t="s">
        <v>5798</v>
      </c>
      <c r="C1198" s="3" t="s">
        <v>1203</v>
      </c>
      <c r="D1198" s="3" t="str">
        <f>T("未建檔")</f>
        <v>未建檔</v>
      </c>
      <c r="E1198" s="3" t="str">
        <f>T("新疆青少年")</f>
        <v>新疆青少年</v>
      </c>
      <c r="F1198" s="3">
        <v>6.8</v>
      </c>
      <c r="G1198" s="3">
        <v>41</v>
      </c>
    </row>
    <row r="1199" spans="1:7" ht="14.25">
      <c r="A1199" s="3" t="str">
        <f>T("53714772E")</f>
        <v>53714772E</v>
      </c>
      <c r="B1199" s="14" t="s">
        <v>5798</v>
      </c>
      <c r="C1199" s="3" t="s">
        <v>1204</v>
      </c>
      <c r="D1199" s="3" t="str">
        <f>T("未建檔")</f>
        <v>未建檔</v>
      </c>
      <c r="E1199" s="3" t="str">
        <f>T("新疆青少年")</f>
        <v>新疆青少年</v>
      </c>
      <c r="F1199" s="3">
        <v>6.8</v>
      </c>
      <c r="G1199" s="3">
        <v>41</v>
      </c>
    </row>
    <row r="1200" spans="1:7" ht="14.25">
      <c r="A1200" s="3" t="str">
        <f>T("53714772G")</f>
        <v>53714772G</v>
      </c>
      <c r="B1200" s="14" t="s">
        <v>5798</v>
      </c>
      <c r="C1200" s="3" t="s">
        <v>1205</v>
      </c>
      <c r="D1200" s="3" t="str">
        <f>T("未建檔")</f>
        <v>未建檔</v>
      </c>
      <c r="E1200" s="3" t="str">
        <f>T("新疆青少年")</f>
        <v>新疆青少年</v>
      </c>
      <c r="F1200" s="3">
        <v>6.8</v>
      </c>
      <c r="G1200" s="3">
        <v>41</v>
      </c>
    </row>
    <row r="1201" spans="1:7" ht="14.25">
      <c r="A1201" s="3" t="str">
        <f>T("53714772H")</f>
        <v>53714772H</v>
      </c>
      <c r="B1201" s="14" t="s">
        <v>5798</v>
      </c>
      <c r="C1201" s="3" t="s">
        <v>1206</v>
      </c>
      <c r="D1201" s="3" t="str">
        <f>T("未建檔")</f>
        <v>未建檔</v>
      </c>
      <c r="E1201" s="3" t="str">
        <f>T("新疆青少年")</f>
        <v>新疆青少年</v>
      </c>
      <c r="F1201" s="3">
        <v>6.8</v>
      </c>
      <c r="G1201" s="3">
        <v>41</v>
      </c>
    </row>
    <row r="1202" spans="1:7" ht="14.25">
      <c r="A1202" s="3" t="str">
        <f>T("53714772I")</f>
        <v>53714772I</v>
      </c>
      <c r="B1202" s="14" t="s">
        <v>5798</v>
      </c>
      <c r="C1202" s="3" t="s">
        <v>1207</v>
      </c>
      <c r="D1202" s="3" t="str">
        <f>T("未建檔")</f>
        <v>未建檔</v>
      </c>
      <c r="E1202" s="3" t="str">
        <f>T("新疆青少年")</f>
        <v>新疆青少年</v>
      </c>
      <c r="F1202" s="3">
        <v>6.8</v>
      </c>
      <c r="G1202" s="3">
        <v>41</v>
      </c>
    </row>
    <row r="1203" spans="1:7" ht="14.25">
      <c r="A1203" s="3" t="str">
        <f>T("53714772J")</f>
        <v>53714772J</v>
      </c>
      <c r="B1203" s="14" t="s">
        <v>5798</v>
      </c>
      <c r="C1203" s="3" t="s">
        <v>1208</v>
      </c>
      <c r="D1203" s="3" t="str">
        <f>T("未建檔")</f>
        <v>未建檔</v>
      </c>
      <c r="E1203" s="3" t="str">
        <f>T("新疆青少年")</f>
        <v>新疆青少年</v>
      </c>
      <c r="F1203" s="3">
        <v>6.8</v>
      </c>
      <c r="G1203" s="3">
        <v>41</v>
      </c>
    </row>
    <row r="1204" spans="1:7" ht="14.25">
      <c r="A1204" s="3" t="str">
        <f>T("53714773B")</f>
        <v>53714773B</v>
      </c>
      <c r="B1204" s="14" t="s">
        <v>5807</v>
      </c>
      <c r="C1204" s="3" t="s">
        <v>1209</v>
      </c>
      <c r="D1204" s="3" t="str">
        <f>T("未建檔")</f>
        <v>未建檔</v>
      </c>
      <c r="E1204" s="3" t="str">
        <f>T("新疆青少年")</f>
        <v>新疆青少年</v>
      </c>
      <c r="F1204" s="3">
        <v>6.8</v>
      </c>
      <c r="G1204" s="3">
        <v>41</v>
      </c>
    </row>
    <row r="1205" spans="1:7" ht="14.25">
      <c r="A1205" s="3" t="str">
        <f>T("53714773C")</f>
        <v>53714773C</v>
      </c>
      <c r="B1205" s="14" t="s">
        <v>5807</v>
      </c>
      <c r="C1205" s="3" t="s">
        <v>1210</v>
      </c>
      <c r="D1205" s="3" t="str">
        <f>T("未建檔")</f>
        <v>未建檔</v>
      </c>
      <c r="E1205" s="3" t="str">
        <f>T("新疆青少年")</f>
        <v>新疆青少年</v>
      </c>
      <c r="F1205" s="3">
        <v>6.8</v>
      </c>
      <c r="G1205" s="3">
        <v>41</v>
      </c>
    </row>
    <row r="1206" spans="1:7" ht="14.25">
      <c r="A1206" s="3" t="str">
        <f>T("53714773D")</f>
        <v>53714773D</v>
      </c>
      <c r="B1206" s="14" t="s">
        <v>5807</v>
      </c>
      <c r="C1206" s="3" t="s">
        <v>1211</v>
      </c>
      <c r="D1206" s="3" t="str">
        <f>T("未建檔")</f>
        <v>未建檔</v>
      </c>
      <c r="E1206" s="3" t="str">
        <f>T("新疆青少年")</f>
        <v>新疆青少年</v>
      </c>
      <c r="F1206" s="3">
        <v>6.8</v>
      </c>
      <c r="G1206" s="3">
        <v>41</v>
      </c>
    </row>
    <row r="1207" spans="1:7" ht="14.25">
      <c r="A1207" s="3" t="str">
        <f>T("53714773H")</f>
        <v>53714773H</v>
      </c>
      <c r="B1207" s="14" t="s">
        <v>5807</v>
      </c>
      <c r="C1207" s="3" t="s">
        <v>1212</v>
      </c>
      <c r="D1207" s="3" t="str">
        <f>T("未建檔")</f>
        <v>未建檔</v>
      </c>
      <c r="E1207" s="3" t="str">
        <f>T("新疆青少年")</f>
        <v>新疆青少年</v>
      </c>
      <c r="F1207" s="3">
        <v>6.8</v>
      </c>
      <c r="G1207" s="3">
        <v>41</v>
      </c>
    </row>
    <row r="1208" spans="1:7" ht="14.25">
      <c r="A1208" s="3" t="str">
        <f>T("53714773I")</f>
        <v>53714773I</v>
      </c>
      <c r="B1208" s="14" t="s">
        <v>5807</v>
      </c>
      <c r="C1208" s="3" t="s">
        <v>1213</v>
      </c>
      <c r="D1208" s="3" t="str">
        <f>T("未建檔")</f>
        <v>未建檔</v>
      </c>
      <c r="E1208" s="3" t="str">
        <f>T("新疆青少年")</f>
        <v>新疆青少年</v>
      </c>
      <c r="F1208" s="3">
        <v>6.8</v>
      </c>
      <c r="G1208" s="3">
        <v>41</v>
      </c>
    </row>
    <row r="1209" spans="1:7" ht="14.25">
      <c r="A1209" s="3" t="str">
        <f>T("53715520")</f>
        <v>53715520</v>
      </c>
      <c r="B1209" s="14" t="s">
        <v>5816</v>
      </c>
      <c r="C1209" s="3" t="s">
        <v>1214</v>
      </c>
      <c r="D1209" s="3" t="str">
        <f>T("未建檔")</f>
        <v>未建檔</v>
      </c>
      <c r="E1209" s="3" t="str">
        <f>T("新疆青少年")</f>
        <v>新疆青少年</v>
      </c>
      <c r="F1209" s="3">
        <v>15</v>
      </c>
      <c r="G1209" s="3">
        <v>90</v>
      </c>
    </row>
    <row r="1210" spans="1:7" ht="14.25">
      <c r="A1210" s="3" t="str">
        <f>T("53715524")</f>
        <v>53715524</v>
      </c>
      <c r="B1210" s="14" t="s">
        <v>5818</v>
      </c>
      <c r="C1210" s="3" t="s">
        <v>1215</v>
      </c>
      <c r="D1210" s="3" t="str">
        <f>T("未建檔")</f>
        <v>未建檔</v>
      </c>
      <c r="E1210" s="3" t="str">
        <f>T("新疆青少年")</f>
        <v>新疆青少年</v>
      </c>
      <c r="F1210" s="3">
        <v>28</v>
      </c>
      <c r="G1210" s="3">
        <v>168</v>
      </c>
    </row>
    <row r="1211" spans="1:7" ht="14.25">
      <c r="A1211" s="3" t="str">
        <f>T("53715659")</f>
        <v>53715659</v>
      </c>
      <c r="B1211" s="14" t="s">
        <v>5820</v>
      </c>
      <c r="C1211" s="3" t="s">
        <v>1216</v>
      </c>
      <c r="D1211" s="3" t="str">
        <f>T("未建檔")</f>
        <v>未建檔</v>
      </c>
      <c r="E1211" s="3" t="str">
        <f>T("新疆青少年")</f>
        <v>新疆青少年</v>
      </c>
      <c r="F1211" s="3">
        <v>13.8</v>
      </c>
      <c r="G1211" s="3">
        <v>83</v>
      </c>
    </row>
    <row r="1212" spans="1:7" ht="14.25">
      <c r="A1212" s="3" t="str">
        <f>T("53715697")</f>
        <v>53715697</v>
      </c>
      <c r="B1212" s="14" t="s">
        <v>5822</v>
      </c>
      <c r="C1212" s="3" t="s">
        <v>1217</v>
      </c>
      <c r="D1212" s="3" t="str">
        <f>T("未建檔")</f>
        <v>未建檔</v>
      </c>
      <c r="E1212" s="3" t="str">
        <f>T("新疆青少年")</f>
        <v>新疆青少年</v>
      </c>
      <c r="F1212" s="3">
        <v>10</v>
      </c>
      <c r="G1212" s="3">
        <v>60</v>
      </c>
    </row>
    <row r="1213" spans="1:7" ht="14.25">
      <c r="A1213" s="3" t="str">
        <f>T("53715698")</f>
        <v>53715698</v>
      </c>
      <c r="B1213" s="14" t="s">
        <v>5824</v>
      </c>
      <c r="C1213" s="3" t="s">
        <v>1218</v>
      </c>
      <c r="D1213" s="3" t="str">
        <f>T("未建檔")</f>
        <v>未建檔</v>
      </c>
      <c r="E1213" s="3" t="str">
        <f>T("新疆青少年")</f>
        <v>新疆青少年</v>
      </c>
      <c r="F1213" s="3">
        <v>10</v>
      </c>
      <c r="G1213" s="3">
        <v>60</v>
      </c>
    </row>
    <row r="1214" spans="1:7" ht="14.25">
      <c r="A1214" s="3" t="str">
        <f>T("53715699")</f>
        <v>53715699</v>
      </c>
      <c r="B1214" s="14" t="s">
        <v>5826</v>
      </c>
      <c r="C1214" s="3" t="s">
        <v>1219</v>
      </c>
      <c r="D1214" s="3" t="str">
        <f>T("未建檔")</f>
        <v>未建檔</v>
      </c>
      <c r="E1214" s="3" t="str">
        <f>T("新疆青少年")</f>
        <v>新疆青少年</v>
      </c>
      <c r="F1214" s="3">
        <v>10</v>
      </c>
      <c r="G1214" s="3">
        <v>60</v>
      </c>
    </row>
    <row r="1215" spans="1:7" ht="14.25">
      <c r="A1215" s="3" t="str">
        <f>T("53715701")</f>
        <v>53715701</v>
      </c>
      <c r="B1215" s="14" t="s">
        <v>5828</v>
      </c>
      <c r="C1215" s="3" t="s">
        <v>1220</v>
      </c>
      <c r="D1215" s="3" t="str">
        <f>T("未建檔")</f>
        <v>未建檔</v>
      </c>
      <c r="E1215" s="3" t="str">
        <f>T("新疆青少年")</f>
        <v>新疆青少年</v>
      </c>
      <c r="F1215" s="3">
        <v>10</v>
      </c>
      <c r="G1215" s="3">
        <v>60</v>
      </c>
    </row>
    <row r="1216" spans="1:7" ht="14.25">
      <c r="A1216" s="3" t="str">
        <f>T("53715702")</f>
        <v>53715702</v>
      </c>
      <c r="B1216" s="14" t="s">
        <v>5830</v>
      </c>
      <c r="C1216" s="3" t="s">
        <v>1221</v>
      </c>
      <c r="D1216" s="3" t="str">
        <f>T("未建檔")</f>
        <v>未建檔</v>
      </c>
      <c r="E1216" s="3" t="str">
        <f>T("新疆青少年")</f>
        <v>新疆青少年</v>
      </c>
      <c r="F1216" s="3">
        <v>10</v>
      </c>
      <c r="G1216" s="3">
        <v>60</v>
      </c>
    </row>
    <row r="1217" spans="1:7" ht="14.25">
      <c r="A1217" s="3" t="str">
        <f>T("53715703")</f>
        <v>53715703</v>
      </c>
      <c r="B1217" s="14" t="s">
        <v>5832</v>
      </c>
      <c r="C1217" s="3" t="s">
        <v>1222</v>
      </c>
      <c r="D1217" s="3" t="str">
        <f>T("未建檔")</f>
        <v>未建檔</v>
      </c>
      <c r="E1217" s="3" t="str">
        <f>T("新疆青少年")</f>
        <v>新疆青少年</v>
      </c>
      <c r="F1217" s="3">
        <v>10</v>
      </c>
      <c r="G1217" s="3">
        <v>60</v>
      </c>
    </row>
    <row r="1218" spans="1:7" ht="14.25">
      <c r="A1218" s="3" t="str">
        <f>T("53715704")</f>
        <v>53715704</v>
      </c>
      <c r="B1218" s="14" t="s">
        <v>5834</v>
      </c>
      <c r="C1218" s="3" t="s">
        <v>1223</v>
      </c>
      <c r="D1218" s="3" t="str">
        <f>T("未建檔")</f>
        <v>未建檔</v>
      </c>
      <c r="E1218" s="3" t="str">
        <f>T("新疆青少年")</f>
        <v>新疆青少年</v>
      </c>
      <c r="F1218" s="3">
        <v>10</v>
      </c>
      <c r="G1218" s="3">
        <v>60</v>
      </c>
    </row>
    <row r="1219" spans="1:7" ht="14.25">
      <c r="A1219" s="3" t="str">
        <f>T("53715705")</f>
        <v>53715705</v>
      </c>
      <c r="B1219" s="14" t="s">
        <v>5836</v>
      </c>
      <c r="C1219" s="3" t="s">
        <v>1224</v>
      </c>
      <c r="D1219" s="3" t="str">
        <f>T("未建檔")</f>
        <v>未建檔</v>
      </c>
      <c r="E1219" s="3" t="str">
        <f>T("新疆青少年")</f>
        <v>新疆青少年</v>
      </c>
      <c r="F1219" s="3">
        <v>10</v>
      </c>
      <c r="G1219" s="3">
        <v>60</v>
      </c>
    </row>
    <row r="1220" spans="1:7" ht="14.25">
      <c r="A1220" s="3" t="str">
        <f>T("53715706")</f>
        <v>53715706</v>
      </c>
      <c r="B1220" s="14" t="s">
        <v>5838</v>
      </c>
      <c r="C1220" s="3" t="s">
        <v>1225</v>
      </c>
      <c r="D1220" s="3" t="str">
        <f>T("未建檔")</f>
        <v>未建檔</v>
      </c>
      <c r="E1220" s="3" t="str">
        <f>T("新疆青少年")</f>
        <v>新疆青少年</v>
      </c>
      <c r="F1220" s="3">
        <v>10</v>
      </c>
      <c r="G1220" s="3">
        <v>60</v>
      </c>
    </row>
    <row r="1221" spans="1:7" ht="14.25">
      <c r="A1221" s="3" t="str">
        <f>T("53715783")</f>
        <v>53715783</v>
      </c>
      <c r="B1221" s="14" t="s">
        <v>5840</v>
      </c>
      <c r="C1221" s="3" t="s">
        <v>1226</v>
      </c>
      <c r="D1221" s="3" t="str">
        <f>T("未建檔")</f>
        <v>未建檔</v>
      </c>
      <c r="E1221" s="3" t="str">
        <f>T("新疆青少年")</f>
        <v>新疆青少年</v>
      </c>
      <c r="F1221" s="3">
        <v>28</v>
      </c>
      <c r="G1221" s="3">
        <v>168</v>
      </c>
    </row>
    <row r="1222" spans="1:7" ht="14.25">
      <c r="A1222" s="3" t="str">
        <f>T("53715808")</f>
        <v>53715808</v>
      </c>
      <c r="B1222" s="14" t="s">
        <v>5842</v>
      </c>
      <c r="C1222" s="3" t="s">
        <v>1227</v>
      </c>
      <c r="D1222" s="3" t="str">
        <f>T("未建檔")</f>
        <v>未建檔</v>
      </c>
      <c r="E1222" s="3" t="str">
        <f>T("新疆青少年")</f>
        <v>新疆青少年</v>
      </c>
      <c r="F1222" s="3">
        <v>25.8</v>
      </c>
      <c r="G1222" s="3">
        <v>155</v>
      </c>
    </row>
    <row r="1223" spans="1:7" ht="14.25">
      <c r="A1223" s="3" t="str">
        <f>T("53715809")</f>
        <v>53715809</v>
      </c>
      <c r="B1223" s="14" t="s">
        <v>5844</v>
      </c>
      <c r="C1223" s="3" t="s">
        <v>1228</v>
      </c>
      <c r="D1223" s="3" t="str">
        <f>T("未建檔")</f>
        <v>未建檔</v>
      </c>
      <c r="E1223" s="3" t="str">
        <f>T("新疆青少年")</f>
        <v>新疆青少年</v>
      </c>
      <c r="F1223" s="3">
        <v>25.8</v>
      </c>
      <c r="G1223" s="3">
        <v>155</v>
      </c>
    </row>
    <row r="1224" spans="1:7" ht="14.25">
      <c r="A1224" s="3" t="str">
        <f>T("53715845")</f>
        <v>53715845</v>
      </c>
      <c r="B1224" s="14" t="s">
        <v>5846</v>
      </c>
      <c r="C1224" s="3" t="s">
        <v>1229</v>
      </c>
      <c r="D1224" s="3" t="str">
        <f>T("未建檔")</f>
        <v>未建檔</v>
      </c>
      <c r="E1224" s="3" t="str">
        <f>T("新疆青少年")</f>
        <v>新疆青少年</v>
      </c>
      <c r="F1224" s="3">
        <v>7.8</v>
      </c>
      <c r="G1224" s="3">
        <v>47</v>
      </c>
    </row>
    <row r="1225" spans="1:7" ht="14.25">
      <c r="A1225" s="3" t="str">
        <f>T("53715846")</f>
        <v>53715846</v>
      </c>
      <c r="B1225" s="14" t="s">
        <v>5848</v>
      </c>
      <c r="C1225" s="3" t="s">
        <v>1230</v>
      </c>
      <c r="D1225" s="3" t="str">
        <f>T("未建檔")</f>
        <v>未建檔</v>
      </c>
      <c r="E1225" s="3" t="str">
        <f>T("新疆青少年")</f>
        <v>新疆青少年</v>
      </c>
      <c r="F1225" s="3">
        <v>7.8</v>
      </c>
      <c r="G1225" s="3">
        <v>47</v>
      </c>
    </row>
    <row r="1226" spans="1:7" ht="14.25">
      <c r="A1226" s="3" t="str">
        <f>T("53715848")</f>
        <v>53715848</v>
      </c>
      <c r="B1226" s="14" t="s">
        <v>5850</v>
      </c>
      <c r="C1226" s="3" t="s">
        <v>1231</v>
      </c>
      <c r="D1226" s="3" t="str">
        <f>T("未建檔")</f>
        <v>未建檔</v>
      </c>
      <c r="E1226" s="3" t="str">
        <f>T("新疆青少年")</f>
        <v>新疆青少年</v>
      </c>
      <c r="F1226" s="3">
        <v>7.8</v>
      </c>
      <c r="G1226" s="3">
        <v>47</v>
      </c>
    </row>
    <row r="1227" spans="1:7" ht="14.25">
      <c r="A1227" s="3" t="str">
        <f>T("53715849")</f>
        <v>53715849</v>
      </c>
      <c r="B1227" s="14" t="s">
        <v>5852</v>
      </c>
      <c r="C1227" s="3" t="s">
        <v>1232</v>
      </c>
      <c r="D1227" s="3" t="str">
        <f>T("未建檔")</f>
        <v>未建檔</v>
      </c>
      <c r="E1227" s="3" t="str">
        <f>T("新疆青少年")</f>
        <v>新疆青少年</v>
      </c>
      <c r="F1227" s="3">
        <v>7.8</v>
      </c>
      <c r="G1227" s="3">
        <v>47</v>
      </c>
    </row>
    <row r="1228" spans="1:7" ht="14.25">
      <c r="A1228" s="3" t="str">
        <f>T("53715850")</f>
        <v>53715850</v>
      </c>
      <c r="B1228" s="14" t="s">
        <v>5854</v>
      </c>
      <c r="C1228" s="3" t="s">
        <v>1233</v>
      </c>
      <c r="D1228" s="3" t="str">
        <f>T("未建檔")</f>
        <v>未建檔</v>
      </c>
      <c r="E1228" s="3" t="str">
        <f>T("新疆青少年")</f>
        <v>新疆青少年</v>
      </c>
      <c r="F1228" s="3">
        <v>7.8</v>
      </c>
      <c r="G1228" s="3">
        <v>47</v>
      </c>
    </row>
    <row r="1229" spans="1:7" ht="14.25">
      <c r="A1229" s="3" t="str">
        <f>T("53715851")</f>
        <v>53715851</v>
      </c>
      <c r="B1229" s="14" t="s">
        <v>5856</v>
      </c>
      <c r="C1229" s="3" t="s">
        <v>1234</v>
      </c>
      <c r="D1229" s="3" t="str">
        <f>T("未建檔")</f>
        <v>未建檔</v>
      </c>
      <c r="E1229" s="3" t="str">
        <f>T("新疆青少年")</f>
        <v>新疆青少年</v>
      </c>
      <c r="F1229" s="3">
        <v>7.8</v>
      </c>
      <c r="G1229" s="3">
        <v>47</v>
      </c>
    </row>
    <row r="1230" spans="1:7" ht="14.25">
      <c r="A1230" s="3" t="str">
        <f>T("53715852")</f>
        <v>53715852</v>
      </c>
      <c r="B1230" s="14" t="s">
        <v>5858</v>
      </c>
      <c r="C1230" s="3" t="s">
        <v>1235</v>
      </c>
      <c r="D1230" s="3" t="str">
        <f>T("未建檔")</f>
        <v>未建檔</v>
      </c>
      <c r="E1230" s="3" t="str">
        <f>T("新疆青少年")</f>
        <v>新疆青少年</v>
      </c>
      <c r="F1230" s="3">
        <v>7.8</v>
      </c>
      <c r="G1230" s="3">
        <v>47</v>
      </c>
    </row>
    <row r="1231" spans="1:7" ht="14.25">
      <c r="A1231" s="3" t="str">
        <f>T("53715853")</f>
        <v>53715853</v>
      </c>
      <c r="B1231" s="14" t="s">
        <v>5860</v>
      </c>
      <c r="C1231" s="3" t="s">
        <v>1236</v>
      </c>
      <c r="D1231" s="3" t="str">
        <f>T("未建檔")</f>
        <v>未建檔</v>
      </c>
      <c r="E1231" s="3" t="str">
        <f>T("新疆青少年")</f>
        <v>新疆青少年</v>
      </c>
      <c r="F1231" s="3">
        <v>7.8</v>
      </c>
      <c r="G1231" s="3">
        <v>47</v>
      </c>
    </row>
    <row r="1232" spans="1:7" ht="14.25">
      <c r="A1232" s="3" t="str">
        <f>T("53715855")</f>
        <v>53715855</v>
      </c>
      <c r="B1232" s="14" t="s">
        <v>5862</v>
      </c>
      <c r="C1232" s="3" t="s">
        <v>1237</v>
      </c>
      <c r="D1232" s="3" t="str">
        <f>T("未建檔")</f>
        <v>未建檔</v>
      </c>
      <c r="E1232" s="3" t="str">
        <f>T("新疆青少年")</f>
        <v>新疆青少年</v>
      </c>
      <c r="F1232" s="3">
        <v>7.8</v>
      </c>
      <c r="G1232" s="3">
        <v>47</v>
      </c>
    </row>
    <row r="1233" spans="1:7" ht="14.25">
      <c r="A1233" s="3" t="str">
        <f>T("53715856")</f>
        <v>53715856</v>
      </c>
      <c r="B1233" s="14" t="s">
        <v>5864</v>
      </c>
      <c r="C1233" s="3" t="s">
        <v>1238</v>
      </c>
      <c r="D1233" s="3" t="str">
        <f>T("未建檔")</f>
        <v>未建檔</v>
      </c>
      <c r="E1233" s="3" t="str">
        <f>T("新疆青少年")</f>
        <v>新疆青少年</v>
      </c>
      <c r="F1233" s="3">
        <v>7.8</v>
      </c>
      <c r="G1233" s="3">
        <v>47</v>
      </c>
    </row>
    <row r="1234" spans="1:7" ht="14.25">
      <c r="A1234" s="3" t="str">
        <f>T("53715859")</f>
        <v>53715859</v>
      </c>
      <c r="B1234" s="14" t="s">
        <v>5866</v>
      </c>
      <c r="C1234" s="3" t="s">
        <v>1239</v>
      </c>
      <c r="D1234" s="3" t="str">
        <f>T("未建檔")</f>
        <v>未建檔</v>
      </c>
      <c r="E1234" s="3" t="str">
        <f>T("新疆青少年")</f>
        <v>新疆青少年</v>
      </c>
      <c r="F1234" s="3">
        <v>7.8</v>
      </c>
      <c r="G1234" s="3">
        <v>47</v>
      </c>
    </row>
    <row r="1235" spans="1:7" ht="14.25">
      <c r="A1235" s="3" t="str">
        <f>T("53715860")</f>
        <v>53715860</v>
      </c>
      <c r="B1235" s="14" t="s">
        <v>5868</v>
      </c>
      <c r="C1235" s="3" t="s">
        <v>1240</v>
      </c>
      <c r="D1235" s="3" t="str">
        <f>T("未建檔")</f>
        <v>未建檔</v>
      </c>
      <c r="E1235" s="3" t="str">
        <f>T("新疆青少年")</f>
        <v>新疆青少年</v>
      </c>
      <c r="F1235" s="3">
        <v>7.8</v>
      </c>
      <c r="G1235" s="3">
        <v>47</v>
      </c>
    </row>
    <row r="1236" spans="1:7" ht="14.25">
      <c r="A1236" s="3" t="str">
        <f>T("53715861")</f>
        <v>53715861</v>
      </c>
      <c r="B1236" s="14" t="s">
        <v>5870</v>
      </c>
      <c r="C1236" s="3" t="s">
        <v>1241</v>
      </c>
      <c r="D1236" s="3" t="str">
        <f>T("未建檔")</f>
        <v>未建檔</v>
      </c>
      <c r="E1236" s="3" t="str">
        <f>T("新疆青少年")</f>
        <v>新疆青少年</v>
      </c>
      <c r="F1236" s="3">
        <v>7.8</v>
      </c>
      <c r="G1236" s="3">
        <v>47</v>
      </c>
    </row>
    <row r="1237" spans="1:7" ht="14.25">
      <c r="A1237" s="3" t="str">
        <f>T("53715862")</f>
        <v>53715862</v>
      </c>
      <c r="B1237" s="14" t="s">
        <v>5872</v>
      </c>
      <c r="C1237" s="3" t="s">
        <v>1242</v>
      </c>
      <c r="D1237" s="3" t="str">
        <f>T("未建檔")</f>
        <v>未建檔</v>
      </c>
      <c r="E1237" s="3" t="str">
        <f>T("新疆青少年")</f>
        <v>新疆青少年</v>
      </c>
      <c r="F1237" s="3">
        <v>7.8</v>
      </c>
      <c r="G1237" s="3">
        <v>47</v>
      </c>
    </row>
    <row r="1238" spans="1:7" ht="14.25">
      <c r="A1238" s="3" t="str">
        <f>T("53715863")</f>
        <v>53715863</v>
      </c>
      <c r="B1238" s="14" t="s">
        <v>5874</v>
      </c>
      <c r="C1238" s="3" t="s">
        <v>1243</v>
      </c>
      <c r="D1238" s="3" t="str">
        <f>T("未建檔")</f>
        <v>未建檔</v>
      </c>
      <c r="E1238" s="3" t="str">
        <f>T("新疆青少年")</f>
        <v>新疆青少年</v>
      </c>
      <c r="F1238" s="3">
        <v>7.8</v>
      </c>
      <c r="G1238" s="3">
        <v>47</v>
      </c>
    </row>
    <row r="1239" spans="1:7" ht="14.25">
      <c r="A1239" s="3" t="str">
        <f>T("53715864")</f>
        <v>53715864</v>
      </c>
      <c r="B1239" s="14" t="s">
        <v>5876</v>
      </c>
      <c r="C1239" s="3" t="s">
        <v>1244</v>
      </c>
      <c r="D1239" s="3" t="str">
        <f>T("未建檔")</f>
        <v>未建檔</v>
      </c>
      <c r="E1239" s="3" t="str">
        <f>T("新疆青少年")</f>
        <v>新疆青少年</v>
      </c>
      <c r="F1239" s="3">
        <v>7.8</v>
      </c>
      <c r="G1239" s="3">
        <v>47</v>
      </c>
    </row>
    <row r="1240" spans="1:7" ht="14.25">
      <c r="A1240" s="3" t="str">
        <f>T("53715865")</f>
        <v>53715865</v>
      </c>
      <c r="B1240" s="14" t="s">
        <v>5878</v>
      </c>
      <c r="C1240" s="3" t="s">
        <v>1245</v>
      </c>
      <c r="D1240" s="3" t="str">
        <f>T("未建檔")</f>
        <v>未建檔</v>
      </c>
      <c r="E1240" s="3" t="str">
        <f>T("新疆青少年")</f>
        <v>新疆青少年</v>
      </c>
      <c r="F1240" s="3">
        <v>23</v>
      </c>
      <c r="G1240" s="3">
        <v>138</v>
      </c>
    </row>
    <row r="1241" spans="1:7" ht="14.25">
      <c r="A1241" s="3" t="str">
        <f>T("53716052")</f>
        <v>53716052</v>
      </c>
      <c r="B1241" s="14" t="s">
        <v>5880</v>
      </c>
      <c r="C1241" s="3" t="s">
        <v>1246</v>
      </c>
      <c r="D1241" s="3" t="str">
        <f>T("未建檔")</f>
        <v>未建檔</v>
      </c>
      <c r="E1241" s="3" t="str">
        <f>T("新疆青少年")</f>
        <v>新疆青少年</v>
      </c>
      <c r="F1241" s="3">
        <v>19.8</v>
      </c>
      <c r="G1241" s="3">
        <v>119</v>
      </c>
    </row>
    <row r="1242" spans="1:7" ht="14.25">
      <c r="A1242" s="3" t="str">
        <f>T("53716053")</f>
        <v>53716053</v>
      </c>
      <c r="B1242" s="14" t="s">
        <v>5882</v>
      </c>
      <c r="C1242" s="3" t="s">
        <v>1247</v>
      </c>
      <c r="D1242" s="3" t="str">
        <f>T("未建檔")</f>
        <v>未建檔</v>
      </c>
      <c r="E1242" s="3" t="str">
        <f>T("新疆青少年")</f>
        <v>新疆青少年</v>
      </c>
      <c r="F1242" s="3">
        <v>25</v>
      </c>
      <c r="G1242" s="3">
        <v>150</v>
      </c>
    </row>
    <row r="1243" spans="1:7" ht="14.25">
      <c r="A1243" s="3" t="str">
        <f>T("53716054")</f>
        <v>53716054</v>
      </c>
      <c r="B1243" s="14" t="s">
        <v>5884</v>
      </c>
      <c r="C1243" s="3" t="s">
        <v>1248</v>
      </c>
      <c r="D1243" s="3" t="str">
        <f>T("未建檔")</f>
        <v>未建檔</v>
      </c>
      <c r="E1243" s="3" t="str">
        <f>T("新疆青少年")</f>
        <v>新疆青少年</v>
      </c>
      <c r="F1243" s="3">
        <v>19.8</v>
      </c>
      <c r="G1243" s="3">
        <v>119</v>
      </c>
    </row>
    <row r="1244" spans="1:7" ht="14.25">
      <c r="A1244" s="3" t="str">
        <f>T("53716612")</f>
        <v>53716612</v>
      </c>
      <c r="B1244" s="14" t="s">
        <v>5886</v>
      </c>
      <c r="C1244" s="3" t="s">
        <v>1249</v>
      </c>
      <c r="D1244" s="3" t="str">
        <f>T("未建檔")</f>
        <v>未建檔</v>
      </c>
      <c r="E1244" s="3" t="str">
        <f>T("新疆青少年")</f>
        <v>新疆青少年</v>
      </c>
      <c r="F1244" s="3">
        <v>8</v>
      </c>
      <c r="G1244" s="3">
        <v>48</v>
      </c>
    </row>
    <row r="1245" spans="1:7" ht="14.25">
      <c r="A1245" s="3" t="str">
        <f>T("53716617")</f>
        <v>53716617</v>
      </c>
      <c r="B1245" s="14" t="s">
        <v>5888</v>
      </c>
      <c r="C1245" s="3" t="s">
        <v>1250</v>
      </c>
      <c r="D1245" s="3" t="str">
        <f>T("未建檔")</f>
        <v>未建檔</v>
      </c>
      <c r="E1245" s="3" t="str">
        <f>T("新疆青少年")</f>
        <v>新疆青少年</v>
      </c>
      <c r="F1245" s="3">
        <v>6.8</v>
      </c>
      <c r="G1245" s="3">
        <v>41</v>
      </c>
    </row>
    <row r="1246" spans="1:7" ht="14.25">
      <c r="A1246" s="3" t="str">
        <f>T("53716618")</f>
        <v>53716618</v>
      </c>
      <c r="B1246" s="14" t="s">
        <v>5890</v>
      </c>
      <c r="C1246" s="3" t="s">
        <v>1251</v>
      </c>
      <c r="D1246" s="3" t="str">
        <f>T("未建檔")</f>
        <v>未建檔</v>
      </c>
      <c r="E1246" s="3" t="str">
        <f>T("新疆青少年")</f>
        <v>新疆青少年</v>
      </c>
      <c r="F1246" s="3">
        <v>8.8</v>
      </c>
      <c r="G1246" s="3">
        <v>53</v>
      </c>
    </row>
    <row r="1247" spans="1:7" ht="14.25">
      <c r="A1247" s="3" t="str">
        <f>T("53716738")</f>
        <v>53716738</v>
      </c>
      <c r="B1247" s="14" t="s">
        <v>5892</v>
      </c>
      <c r="C1247" s="3" t="s">
        <v>1252</v>
      </c>
      <c r="D1247" s="3" t="str">
        <f>T("未建檔")</f>
        <v>未建檔</v>
      </c>
      <c r="E1247" s="3" t="str">
        <f>T("新疆青少年")</f>
        <v>新疆青少年</v>
      </c>
      <c r="F1247" s="3">
        <v>13.8</v>
      </c>
      <c r="G1247" s="3">
        <v>83</v>
      </c>
    </row>
    <row r="1248" spans="1:7" ht="14.25">
      <c r="A1248" s="3" t="str">
        <f>T("53716740")</f>
        <v>53716740</v>
      </c>
      <c r="B1248" s="14" t="s">
        <v>5894</v>
      </c>
      <c r="C1248" s="3" t="s">
        <v>1253</v>
      </c>
      <c r="D1248" s="3" t="str">
        <f>T("未建檔")</f>
        <v>未建檔</v>
      </c>
      <c r="E1248" s="3" t="str">
        <f>T("新疆青少年")</f>
        <v>新疆青少年</v>
      </c>
      <c r="F1248" s="3">
        <v>13.8</v>
      </c>
      <c r="G1248" s="3">
        <v>83</v>
      </c>
    </row>
    <row r="1249" spans="1:7" ht="14.25">
      <c r="A1249" s="3" t="str">
        <f>T("53716741")</f>
        <v>53716741</v>
      </c>
      <c r="B1249" s="14" t="s">
        <v>5896</v>
      </c>
      <c r="C1249" s="3" t="s">
        <v>1254</v>
      </c>
      <c r="D1249" s="3" t="str">
        <f>T("未建檔")</f>
        <v>未建檔</v>
      </c>
      <c r="E1249" s="3" t="str">
        <f>T("新疆青少年")</f>
        <v>新疆青少年</v>
      </c>
      <c r="F1249" s="3">
        <v>13.8</v>
      </c>
      <c r="G1249" s="3">
        <v>83</v>
      </c>
    </row>
    <row r="1250" spans="1:7" ht="14.25">
      <c r="A1250" s="3" t="str">
        <f>T("53716742")</f>
        <v>53716742</v>
      </c>
      <c r="B1250" s="14" t="s">
        <v>5898</v>
      </c>
      <c r="C1250" s="3" t="s">
        <v>1255</v>
      </c>
      <c r="D1250" s="3" t="str">
        <f>T("未建檔")</f>
        <v>未建檔</v>
      </c>
      <c r="E1250" s="3" t="str">
        <f>T("新疆青少年")</f>
        <v>新疆青少年</v>
      </c>
      <c r="F1250" s="3">
        <v>13.8</v>
      </c>
      <c r="G1250" s="3">
        <v>83</v>
      </c>
    </row>
    <row r="1251" spans="1:7" ht="14.25">
      <c r="A1251" s="3" t="str">
        <f>T("53716744")</f>
        <v>53716744</v>
      </c>
      <c r="B1251" s="14" t="s">
        <v>5900</v>
      </c>
      <c r="C1251" s="3" t="s">
        <v>1256</v>
      </c>
      <c r="D1251" s="3" t="str">
        <f>T("未建檔")</f>
        <v>未建檔</v>
      </c>
      <c r="E1251" s="3" t="str">
        <f>T("新疆青少年")</f>
        <v>新疆青少年</v>
      </c>
      <c r="F1251" s="3">
        <v>13.8</v>
      </c>
      <c r="G1251" s="3">
        <v>83</v>
      </c>
    </row>
    <row r="1252" spans="1:7" ht="14.25">
      <c r="A1252" s="3" t="str">
        <f>T("53716825")</f>
        <v>53716825</v>
      </c>
      <c r="B1252" s="14" t="s">
        <v>5902</v>
      </c>
      <c r="C1252" s="3" t="s">
        <v>1257</v>
      </c>
      <c r="D1252" s="3" t="str">
        <f>T("未建檔")</f>
        <v>未建檔</v>
      </c>
      <c r="E1252" s="3" t="str">
        <f>T("新疆青少年")</f>
        <v>新疆青少年</v>
      </c>
      <c r="F1252" s="3">
        <v>28</v>
      </c>
      <c r="G1252" s="3">
        <v>168</v>
      </c>
    </row>
    <row r="1253" spans="1:7" ht="14.25">
      <c r="A1253" s="3" t="str">
        <f>T("53717289")</f>
        <v>53717289</v>
      </c>
      <c r="B1253" s="14" t="s">
        <v>5904</v>
      </c>
      <c r="C1253" s="3" t="s">
        <v>1258</v>
      </c>
      <c r="D1253" s="3" t="str">
        <f>T("未建檔")</f>
        <v>未建檔</v>
      </c>
      <c r="E1253" s="3" t="str">
        <f>T("新疆青少年")</f>
        <v>新疆青少年</v>
      </c>
      <c r="F1253" s="3">
        <v>8</v>
      </c>
      <c r="G1253" s="3">
        <v>48</v>
      </c>
    </row>
    <row r="1254" spans="1:7" ht="14.25">
      <c r="A1254" s="3" t="str">
        <f>T("53717295")</f>
        <v>53717295</v>
      </c>
      <c r="B1254" s="14" t="s">
        <v>5906</v>
      </c>
      <c r="C1254" s="3" t="s">
        <v>1259</v>
      </c>
      <c r="D1254" s="3" t="str">
        <f>T("未建檔")</f>
        <v>未建檔</v>
      </c>
      <c r="E1254" s="3" t="str">
        <f>T("新疆青少年")</f>
        <v>新疆青少年</v>
      </c>
      <c r="F1254" s="3">
        <v>8</v>
      </c>
      <c r="G1254" s="3">
        <v>48</v>
      </c>
    </row>
    <row r="1255" spans="1:7" ht="14.25">
      <c r="A1255" s="3" t="str">
        <f>T("53717703")</f>
        <v>53717703</v>
      </c>
      <c r="B1255" s="14" t="s">
        <v>5908</v>
      </c>
      <c r="C1255" s="3" t="s">
        <v>1260</v>
      </c>
      <c r="D1255" s="3" t="str">
        <f>T("未建檔")</f>
        <v>未建檔</v>
      </c>
      <c r="E1255" s="3" t="str">
        <f>T("新疆青少年")</f>
        <v>新疆青少年</v>
      </c>
      <c r="F1255" s="3">
        <v>7.8</v>
      </c>
      <c r="G1255" s="3">
        <v>47</v>
      </c>
    </row>
    <row r="1256" spans="1:7" ht="14.25">
      <c r="A1256" s="3" t="str">
        <f>T("53717704")</f>
        <v>53717704</v>
      </c>
      <c r="B1256" s="14" t="s">
        <v>5910</v>
      </c>
      <c r="C1256" s="3" t="s">
        <v>1261</v>
      </c>
      <c r="D1256" s="3" t="str">
        <f>T("未建檔")</f>
        <v>未建檔</v>
      </c>
      <c r="E1256" s="3" t="str">
        <f>T("新疆青少年")</f>
        <v>新疆青少年</v>
      </c>
      <c r="F1256" s="3">
        <v>7.8</v>
      </c>
      <c r="G1256" s="3">
        <v>47</v>
      </c>
    </row>
    <row r="1257" spans="1:7" ht="14.25">
      <c r="A1257" s="3" t="str">
        <f>T("53717705")</f>
        <v>53717705</v>
      </c>
      <c r="B1257" s="14" t="s">
        <v>5912</v>
      </c>
      <c r="C1257" s="3" t="s">
        <v>1262</v>
      </c>
      <c r="D1257" s="3" t="str">
        <f>T("未建檔")</f>
        <v>未建檔</v>
      </c>
      <c r="E1257" s="3" t="str">
        <f>T("新疆青少年")</f>
        <v>新疆青少年</v>
      </c>
      <c r="F1257" s="3">
        <v>7.8</v>
      </c>
      <c r="G1257" s="3">
        <v>47</v>
      </c>
    </row>
    <row r="1258" spans="1:7" ht="14.25">
      <c r="A1258" s="3" t="str">
        <f>T("53717707")</f>
        <v>53717707</v>
      </c>
      <c r="B1258" s="14" t="s">
        <v>5914</v>
      </c>
      <c r="C1258" s="3" t="s">
        <v>1263</v>
      </c>
      <c r="D1258" s="3" t="str">
        <f>T("未建檔")</f>
        <v>未建檔</v>
      </c>
      <c r="E1258" s="3" t="str">
        <f>T("新疆青少年")</f>
        <v>新疆青少年</v>
      </c>
      <c r="F1258" s="3">
        <v>7.8</v>
      </c>
      <c r="G1258" s="3">
        <v>47</v>
      </c>
    </row>
    <row r="1259" spans="1:7" ht="14.25">
      <c r="A1259" s="3" t="str">
        <f>T("53717871")</f>
        <v>53717871</v>
      </c>
      <c r="B1259" s="14" t="s">
        <v>5916</v>
      </c>
      <c r="C1259" s="3" t="s">
        <v>1264</v>
      </c>
      <c r="D1259" s="3" t="str">
        <f>T("未建檔")</f>
        <v>未建檔</v>
      </c>
      <c r="E1259" s="3" t="str">
        <f>T("新疆青少年")</f>
        <v>新疆青少年</v>
      </c>
      <c r="F1259" s="3">
        <v>7.8</v>
      </c>
      <c r="G1259" s="3">
        <v>47</v>
      </c>
    </row>
    <row r="1260" spans="1:7" ht="14.25">
      <c r="A1260" s="3" t="str">
        <f>T("53717872")</f>
        <v>53717872</v>
      </c>
      <c r="B1260" s="14" t="s">
        <v>5918</v>
      </c>
      <c r="C1260" s="3" t="s">
        <v>1265</v>
      </c>
      <c r="D1260" s="3" t="str">
        <f>T("未建檔")</f>
        <v>未建檔</v>
      </c>
      <c r="E1260" s="3" t="str">
        <f>T("新疆青少年")</f>
        <v>新疆青少年</v>
      </c>
      <c r="F1260" s="3">
        <v>7.8</v>
      </c>
      <c r="G1260" s="3">
        <v>47</v>
      </c>
    </row>
    <row r="1261" spans="1:7" ht="14.25">
      <c r="A1261" s="3" t="str">
        <f>T("53717873")</f>
        <v>53717873</v>
      </c>
      <c r="B1261" s="14" t="s">
        <v>5920</v>
      </c>
      <c r="C1261" s="3" t="s">
        <v>1266</v>
      </c>
      <c r="D1261" s="3" t="str">
        <f>T("未建檔")</f>
        <v>未建檔</v>
      </c>
      <c r="E1261" s="3" t="str">
        <f>T("新疆青少年")</f>
        <v>新疆青少年</v>
      </c>
      <c r="F1261" s="3">
        <v>7.8</v>
      </c>
      <c r="G1261" s="3">
        <v>47</v>
      </c>
    </row>
    <row r="1262" spans="1:7" ht="14.25">
      <c r="A1262" s="3" t="str">
        <f>T("53717875")</f>
        <v>53717875</v>
      </c>
      <c r="B1262" s="14" t="s">
        <v>5922</v>
      </c>
      <c r="C1262" s="3" t="s">
        <v>1267</v>
      </c>
      <c r="D1262" s="3" t="str">
        <f>T("未建檔")</f>
        <v>未建檔</v>
      </c>
      <c r="E1262" s="3" t="str">
        <f>T("新疆青少年")</f>
        <v>新疆青少年</v>
      </c>
      <c r="F1262" s="3">
        <v>7.8</v>
      </c>
      <c r="G1262" s="3">
        <v>47</v>
      </c>
    </row>
    <row r="1263" spans="1:7" ht="14.25">
      <c r="A1263" s="3" t="str">
        <f>T("53717876")</f>
        <v>53717876</v>
      </c>
      <c r="B1263" s="14" t="s">
        <v>5924</v>
      </c>
      <c r="C1263" s="3" t="s">
        <v>1268</v>
      </c>
      <c r="D1263" s="3" t="str">
        <f>T("未建檔")</f>
        <v>未建檔</v>
      </c>
      <c r="E1263" s="3" t="str">
        <f>T("新疆青少年")</f>
        <v>新疆青少年</v>
      </c>
      <c r="F1263" s="3">
        <v>7.8</v>
      </c>
      <c r="G1263" s="3">
        <v>47</v>
      </c>
    </row>
    <row r="1264" spans="1:7" ht="14.25">
      <c r="A1264" s="3" t="str">
        <f>T("53717877")</f>
        <v>53717877</v>
      </c>
      <c r="B1264" s="14" t="s">
        <v>5926</v>
      </c>
      <c r="C1264" s="3" t="s">
        <v>1269</v>
      </c>
      <c r="D1264" s="3" t="str">
        <f>T("未建檔")</f>
        <v>未建檔</v>
      </c>
      <c r="E1264" s="3" t="str">
        <f>T("新疆青少年")</f>
        <v>新疆青少年</v>
      </c>
      <c r="F1264" s="3">
        <v>7.8</v>
      </c>
      <c r="G1264" s="3">
        <v>47</v>
      </c>
    </row>
    <row r="1265" spans="1:7" ht="14.25">
      <c r="A1265" s="3" t="str">
        <f>T("53717879")</f>
        <v>53717879</v>
      </c>
      <c r="B1265" s="14" t="s">
        <v>5928</v>
      </c>
      <c r="C1265" s="3" t="s">
        <v>1270</v>
      </c>
      <c r="D1265" s="3" t="str">
        <f>T("未建檔")</f>
        <v>未建檔</v>
      </c>
      <c r="E1265" s="3" t="str">
        <f>T("新疆青少年")</f>
        <v>新疆青少年</v>
      </c>
      <c r="F1265" s="3">
        <v>7.8</v>
      </c>
      <c r="G1265" s="3">
        <v>47</v>
      </c>
    </row>
    <row r="1266" spans="1:7" ht="14.25">
      <c r="A1266" s="3" t="str">
        <f>T("53717880")</f>
        <v>53717880</v>
      </c>
      <c r="B1266" s="14" t="s">
        <v>5930</v>
      </c>
      <c r="C1266" s="3" t="s">
        <v>1271</v>
      </c>
      <c r="D1266" s="3" t="str">
        <f>T("未建檔")</f>
        <v>未建檔</v>
      </c>
      <c r="E1266" s="3" t="str">
        <f>T("新疆青少年")</f>
        <v>新疆青少年</v>
      </c>
      <c r="F1266" s="3">
        <v>7.8</v>
      </c>
      <c r="G1266" s="3">
        <v>47</v>
      </c>
    </row>
    <row r="1267" spans="1:7" ht="14.25">
      <c r="A1267" s="3" t="str">
        <f>T("53717881")</f>
        <v>53717881</v>
      </c>
      <c r="B1267" s="14" t="s">
        <v>5932</v>
      </c>
      <c r="C1267" s="3" t="s">
        <v>1272</v>
      </c>
      <c r="D1267" s="3" t="str">
        <f>T("未建檔")</f>
        <v>未建檔</v>
      </c>
      <c r="E1267" s="3" t="str">
        <f>T("新疆青少年")</f>
        <v>新疆青少年</v>
      </c>
      <c r="F1267" s="3">
        <v>7.8</v>
      </c>
      <c r="G1267" s="3">
        <v>47</v>
      </c>
    </row>
    <row r="1268" spans="1:7" ht="14.25">
      <c r="A1268" s="3" t="str">
        <f>T("53717882")</f>
        <v>53717882</v>
      </c>
      <c r="B1268" s="14" t="s">
        <v>5934</v>
      </c>
      <c r="C1268" s="3" t="s">
        <v>1273</v>
      </c>
      <c r="D1268" s="3" t="str">
        <f>T("未建檔")</f>
        <v>未建檔</v>
      </c>
      <c r="E1268" s="3" t="str">
        <f>T("新疆青少年")</f>
        <v>新疆青少年</v>
      </c>
      <c r="F1268" s="3">
        <v>7.8</v>
      </c>
      <c r="G1268" s="3">
        <v>47</v>
      </c>
    </row>
    <row r="1269" spans="1:7" ht="14.25">
      <c r="A1269" s="3" t="str">
        <f>T("53717883")</f>
        <v>53717883</v>
      </c>
      <c r="B1269" s="14" t="s">
        <v>5936</v>
      </c>
      <c r="C1269" s="3" t="s">
        <v>1274</v>
      </c>
      <c r="D1269" s="3" t="str">
        <f>T("未建檔")</f>
        <v>未建檔</v>
      </c>
      <c r="E1269" s="3" t="str">
        <f>T("新疆青少年")</f>
        <v>新疆青少年</v>
      </c>
      <c r="F1269" s="3">
        <v>7.8</v>
      </c>
      <c r="G1269" s="3">
        <v>47</v>
      </c>
    </row>
    <row r="1270" spans="1:7" ht="14.25">
      <c r="A1270" s="3" t="str">
        <f>T("53717884")</f>
        <v>53717884</v>
      </c>
      <c r="B1270" s="14" t="s">
        <v>5938</v>
      </c>
      <c r="C1270" s="3" t="s">
        <v>1275</v>
      </c>
      <c r="D1270" s="3" t="str">
        <f>T("未建檔")</f>
        <v>未建檔</v>
      </c>
      <c r="E1270" s="3" t="str">
        <f>T("新疆青少年")</f>
        <v>新疆青少年</v>
      </c>
      <c r="F1270" s="3">
        <v>7.8</v>
      </c>
      <c r="G1270" s="3">
        <v>47</v>
      </c>
    </row>
    <row r="1271" spans="1:7" ht="14.25">
      <c r="A1271" s="3" t="str">
        <f>T("53717885")</f>
        <v>53717885</v>
      </c>
      <c r="B1271" s="14" t="s">
        <v>5940</v>
      </c>
      <c r="C1271" s="3" t="s">
        <v>1276</v>
      </c>
      <c r="D1271" s="3" t="str">
        <f>T("未建檔")</f>
        <v>未建檔</v>
      </c>
      <c r="E1271" s="3" t="str">
        <f>T("新疆青少年")</f>
        <v>新疆青少年</v>
      </c>
      <c r="F1271" s="3">
        <v>7.8</v>
      </c>
      <c r="G1271" s="3">
        <v>47</v>
      </c>
    </row>
    <row r="1272" spans="1:7" ht="14.25">
      <c r="A1272" s="3" t="str">
        <f>T("53718029")</f>
        <v>53718029</v>
      </c>
      <c r="B1272" s="14" t="s">
        <v>5942</v>
      </c>
      <c r="C1272" s="3" t="s">
        <v>1277</v>
      </c>
      <c r="D1272" s="3">
        <f>T("")</f>
      </c>
      <c r="E1272" s="3" t="str">
        <f>T("新疆青少年")</f>
        <v>新疆青少年</v>
      </c>
      <c r="F1272" s="3">
        <v>7.8</v>
      </c>
      <c r="G1272" s="3">
        <v>47</v>
      </c>
    </row>
    <row r="1273" spans="1:7" ht="14.25">
      <c r="A1273" s="3" t="str">
        <f>T("53718030")</f>
        <v>53718030</v>
      </c>
      <c r="B1273" s="14" t="s">
        <v>5944</v>
      </c>
      <c r="C1273" s="3" t="s">
        <v>1278</v>
      </c>
      <c r="D1273" s="3" t="str">
        <f>T("未建檔")</f>
        <v>未建檔</v>
      </c>
      <c r="E1273" s="3" t="str">
        <f>T("新疆青少年")</f>
        <v>新疆青少年</v>
      </c>
      <c r="F1273" s="3">
        <v>12</v>
      </c>
      <c r="G1273" s="3">
        <v>72</v>
      </c>
    </row>
    <row r="1274" spans="1:7" ht="14.25">
      <c r="A1274" s="3" t="str">
        <f>T("53718031")</f>
        <v>53718031</v>
      </c>
      <c r="B1274" s="14" t="s">
        <v>5946</v>
      </c>
      <c r="C1274" s="3" t="s">
        <v>1279</v>
      </c>
      <c r="D1274" s="3" t="str">
        <f>T("未建檔")</f>
        <v>未建檔</v>
      </c>
      <c r="E1274" s="3" t="str">
        <f>T("新疆青少年")</f>
        <v>新疆青少年</v>
      </c>
      <c r="F1274" s="3">
        <v>7.5</v>
      </c>
      <c r="G1274" s="3">
        <v>45</v>
      </c>
    </row>
    <row r="1275" spans="1:7" ht="14.25">
      <c r="A1275" s="3" t="str">
        <f>T("53718033")</f>
        <v>53718033</v>
      </c>
      <c r="B1275" s="14" t="s">
        <v>5948</v>
      </c>
      <c r="C1275" s="3" t="s">
        <v>1280</v>
      </c>
      <c r="D1275" s="3" t="str">
        <f>T("未建檔")</f>
        <v>未建檔</v>
      </c>
      <c r="E1275" s="3" t="str">
        <f>T("新疆青少年")</f>
        <v>新疆青少年</v>
      </c>
      <c r="F1275" s="3">
        <v>6.8</v>
      </c>
      <c r="G1275" s="3">
        <v>41</v>
      </c>
    </row>
    <row r="1276" spans="1:7" ht="14.25">
      <c r="A1276" s="3" t="str">
        <f>T("53718034")</f>
        <v>53718034</v>
      </c>
      <c r="B1276" s="14" t="s">
        <v>5950</v>
      </c>
      <c r="C1276" s="3" t="s">
        <v>1281</v>
      </c>
      <c r="D1276" s="3" t="str">
        <f>T("未建檔")</f>
        <v>未建檔</v>
      </c>
      <c r="E1276" s="3" t="str">
        <f>T("新疆青少年")</f>
        <v>新疆青少年</v>
      </c>
      <c r="F1276" s="3">
        <v>8.8</v>
      </c>
      <c r="G1276" s="3">
        <v>53</v>
      </c>
    </row>
    <row r="1277" spans="1:7" ht="14.25">
      <c r="A1277" s="3" t="str">
        <f>T("53718035")</f>
        <v>53718035</v>
      </c>
      <c r="B1277" s="14" t="s">
        <v>5952</v>
      </c>
      <c r="C1277" s="3" t="s">
        <v>1282</v>
      </c>
      <c r="D1277" s="3" t="str">
        <f>T("未建檔")</f>
        <v>未建檔</v>
      </c>
      <c r="E1277" s="3" t="str">
        <f>T("新疆青少年")</f>
        <v>新疆青少年</v>
      </c>
      <c r="F1277" s="3">
        <v>8</v>
      </c>
      <c r="G1277" s="3">
        <v>48</v>
      </c>
    </row>
    <row r="1278" spans="1:7" ht="14.25">
      <c r="A1278" s="3" t="str">
        <f>T("53718037")</f>
        <v>53718037</v>
      </c>
      <c r="B1278" s="14" t="s">
        <v>5954</v>
      </c>
      <c r="C1278" s="3" t="s">
        <v>1283</v>
      </c>
      <c r="D1278" s="3" t="str">
        <f>T("未建檔")</f>
        <v>未建檔</v>
      </c>
      <c r="E1278" s="3" t="str">
        <f>T("新疆青少年")</f>
        <v>新疆青少年</v>
      </c>
      <c r="F1278" s="3">
        <v>7.5</v>
      </c>
      <c r="G1278" s="3">
        <v>45</v>
      </c>
    </row>
    <row r="1279" spans="1:7" ht="14.25">
      <c r="A1279" s="3" t="str">
        <f>T("53718038")</f>
        <v>53718038</v>
      </c>
      <c r="B1279" s="14" t="s">
        <v>5956</v>
      </c>
      <c r="C1279" s="3" t="s">
        <v>1284</v>
      </c>
      <c r="D1279" s="3" t="str">
        <f>T("未建檔")</f>
        <v>未建檔</v>
      </c>
      <c r="E1279" s="3" t="str">
        <f>T("新疆青少年")</f>
        <v>新疆青少年</v>
      </c>
      <c r="F1279" s="3">
        <v>8.8</v>
      </c>
      <c r="G1279" s="3">
        <v>53</v>
      </c>
    </row>
    <row r="1280" spans="1:7" ht="14.25">
      <c r="A1280" s="3" t="str">
        <f>T("53718039")</f>
        <v>53718039</v>
      </c>
      <c r="B1280" s="14" t="s">
        <v>5958</v>
      </c>
      <c r="C1280" s="3" t="s">
        <v>1285</v>
      </c>
      <c r="D1280" s="3" t="str">
        <f>T("未建檔")</f>
        <v>未建檔</v>
      </c>
      <c r="E1280" s="3" t="str">
        <f>T("新疆青少年")</f>
        <v>新疆青少年</v>
      </c>
      <c r="F1280" s="3">
        <v>12</v>
      </c>
      <c r="G1280" s="3">
        <v>72</v>
      </c>
    </row>
    <row r="1281" spans="1:7" ht="14.25">
      <c r="A1281" s="3" t="str">
        <f>T("53718040")</f>
        <v>53718040</v>
      </c>
      <c r="B1281" s="14" t="s">
        <v>5960</v>
      </c>
      <c r="C1281" s="3" t="s">
        <v>1286</v>
      </c>
      <c r="D1281" s="3" t="str">
        <f>T("未建檔")</f>
        <v>未建檔</v>
      </c>
      <c r="E1281" s="3" t="str">
        <f>T("新疆青少年")</f>
        <v>新疆青少年</v>
      </c>
      <c r="F1281" s="3">
        <v>12</v>
      </c>
      <c r="G1281" s="3">
        <v>72</v>
      </c>
    </row>
    <row r="1282" spans="1:7" ht="14.25">
      <c r="A1282" s="3" t="str">
        <f>T("53718047")</f>
        <v>53718047</v>
      </c>
      <c r="B1282" s="14" t="s">
        <v>5962</v>
      </c>
      <c r="C1282" s="3" t="s">
        <v>1287</v>
      </c>
      <c r="D1282" s="3" t="str">
        <f>T("未建檔")</f>
        <v>未建檔</v>
      </c>
      <c r="E1282" s="3" t="str">
        <f>T("新疆青少年")</f>
        <v>新疆青少年</v>
      </c>
      <c r="F1282" s="3">
        <v>19.8</v>
      </c>
      <c r="G1282" s="3">
        <v>119</v>
      </c>
    </row>
    <row r="1283" spans="1:7" ht="14.25">
      <c r="A1283" s="3" t="str">
        <f>T("53718058")</f>
        <v>53718058</v>
      </c>
      <c r="B1283" s="14" t="s">
        <v>5964</v>
      </c>
      <c r="C1283" s="3" t="s">
        <v>1288</v>
      </c>
      <c r="D1283" s="3" t="str">
        <f>T("未建檔")</f>
        <v>未建檔</v>
      </c>
      <c r="E1283" s="3" t="str">
        <f>T("新疆青少年")</f>
        <v>新疆青少年</v>
      </c>
      <c r="F1283" s="3">
        <v>26</v>
      </c>
      <c r="G1283" s="3">
        <v>156</v>
      </c>
    </row>
    <row r="1284" spans="1:7" ht="14.25">
      <c r="A1284" s="3" t="str">
        <f>T("53718059")</f>
        <v>53718059</v>
      </c>
      <c r="B1284" s="14" t="s">
        <v>5966</v>
      </c>
      <c r="C1284" s="3" t="s">
        <v>1289</v>
      </c>
      <c r="D1284" s="3" t="str">
        <f>T("未建檔")</f>
        <v>未建檔</v>
      </c>
      <c r="E1284" s="3" t="str">
        <f>T("新疆青少年")</f>
        <v>新疆青少年</v>
      </c>
      <c r="F1284" s="3">
        <v>26</v>
      </c>
      <c r="G1284" s="3">
        <v>156</v>
      </c>
    </row>
    <row r="1285" spans="1:7" ht="14.25">
      <c r="A1285" s="3" t="str">
        <f>T("53718544")</f>
        <v>53718544</v>
      </c>
      <c r="B1285" s="14" t="s">
        <v>5968</v>
      </c>
      <c r="C1285" s="3" t="s">
        <v>1290</v>
      </c>
      <c r="D1285" s="3" t="str">
        <f>T("未建檔")</f>
        <v>未建檔</v>
      </c>
      <c r="E1285" s="3" t="str">
        <f>T("新疆青少年")</f>
        <v>新疆青少年</v>
      </c>
      <c r="F1285" s="3">
        <v>16</v>
      </c>
      <c r="G1285" s="3">
        <v>96</v>
      </c>
    </row>
    <row r="1286" spans="1:7" ht="14.25">
      <c r="A1286" s="3" t="str">
        <f>T("53718546")</f>
        <v>53718546</v>
      </c>
      <c r="B1286" s="14" t="s">
        <v>5970</v>
      </c>
      <c r="C1286" s="3" t="s">
        <v>1291</v>
      </c>
      <c r="D1286" s="3" t="str">
        <f>T("未建檔")</f>
        <v>未建檔</v>
      </c>
      <c r="E1286" s="3" t="str">
        <f>T("新疆青少年")</f>
        <v>新疆青少年</v>
      </c>
      <c r="F1286" s="3">
        <v>16</v>
      </c>
      <c r="G1286" s="3">
        <v>96</v>
      </c>
    </row>
    <row r="1287" spans="1:7" ht="14.25">
      <c r="A1287" s="3" t="str">
        <f>T("53718796")</f>
        <v>53718796</v>
      </c>
      <c r="B1287" s="14" t="s">
        <v>5972</v>
      </c>
      <c r="C1287" s="3" t="s">
        <v>1292</v>
      </c>
      <c r="D1287" s="3" t="str">
        <f>T("未建檔")</f>
        <v>未建檔</v>
      </c>
      <c r="E1287" s="3" t="str">
        <f>T("新疆青少年")</f>
        <v>新疆青少年</v>
      </c>
      <c r="F1287" s="3">
        <v>18</v>
      </c>
      <c r="G1287" s="3">
        <v>108</v>
      </c>
    </row>
    <row r="1288" spans="1:7" ht="14.25">
      <c r="A1288" s="3" t="str">
        <f>T("53718803")</f>
        <v>53718803</v>
      </c>
      <c r="B1288" s="14" t="s">
        <v>5974</v>
      </c>
      <c r="C1288" s="3" t="s">
        <v>1293</v>
      </c>
      <c r="D1288" s="3" t="str">
        <f>T("未建檔")</f>
        <v>未建檔</v>
      </c>
      <c r="E1288" s="3" t="str">
        <f>T("新疆青少年")</f>
        <v>新疆青少年</v>
      </c>
      <c r="F1288" s="3">
        <v>18</v>
      </c>
      <c r="G1288" s="3">
        <v>108</v>
      </c>
    </row>
    <row r="1289" spans="1:7" ht="14.25">
      <c r="A1289" s="3" t="str">
        <f>T("53718804")</f>
        <v>53718804</v>
      </c>
      <c r="B1289" s="14" t="s">
        <v>5976</v>
      </c>
      <c r="C1289" s="3" t="s">
        <v>1294</v>
      </c>
      <c r="D1289" s="3" t="str">
        <f>T("未建檔")</f>
        <v>未建檔</v>
      </c>
      <c r="E1289" s="3" t="str">
        <f>T("新疆青少年")</f>
        <v>新疆青少年</v>
      </c>
      <c r="F1289" s="3">
        <v>28</v>
      </c>
      <c r="G1289" s="3">
        <v>168</v>
      </c>
    </row>
    <row r="1290" spans="1:7" ht="14.25">
      <c r="A1290" s="3" t="str">
        <f>T("53718899")</f>
        <v>53718899</v>
      </c>
      <c r="B1290" s="14" t="s">
        <v>5978</v>
      </c>
      <c r="C1290" s="3" t="s">
        <v>1295</v>
      </c>
      <c r="D1290" s="3" t="str">
        <f>T("未建檔")</f>
        <v>未建檔</v>
      </c>
      <c r="E1290" s="3" t="str">
        <f>T("新疆青少年")</f>
        <v>新疆青少年</v>
      </c>
      <c r="F1290" s="3">
        <v>23</v>
      </c>
      <c r="G1290" s="3">
        <v>138</v>
      </c>
    </row>
    <row r="1291" spans="1:7" ht="14.25">
      <c r="A1291" s="3" t="str">
        <f>T("53718934")</f>
        <v>53718934</v>
      </c>
      <c r="B1291" s="14" t="s">
        <v>5980</v>
      </c>
      <c r="C1291" s="3" t="s">
        <v>1296</v>
      </c>
      <c r="D1291" s="3" t="str">
        <f>T("未建檔")</f>
        <v>未建檔</v>
      </c>
      <c r="E1291" s="3" t="str">
        <f>T("新疆青少年")</f>
        <v>新疆青少年</v>
      </c>
      <c r="F1291" s="3">
        <v>32</v>
      </c>
      <c r="G1291" s="3">
        <v>192</v>
      </c>
    </row>
    <row r="1292" spans="1:7" ht="14.25">
      <c r="A1292" s="3" t="str">
        <f>T("53719114")</f>
        <v>53719114</v>
      </c>
      <c r="B1292" s="14" t="s">
        <v>5982</v>
      </c>
      <c r="C1292" s="3" t="s">
        <v>1297</v>
      </c>
      <c r="D1292" s="3">
        <f>T("")</f>
      </c>
      <c r="E1292" s="3" t="str">
        <f>T("新疆青少年")</f>
        <v>新疆青少年</v>
      </c>
      <c r="F1292" s="3">
        <v>8</v>
      </c>
      <c r="G1292" s="3">
        <v>48</v>
      </c>
    </row>
    <row r="1293" spans="1:7" ht="14.25">
      <c r="A1293" s="3" t="str">
        <f>T("53719115")</f>
        <v>53719115</v>
      </c>
      <c r="B1293" s="14" t="s">
        <v>5984</v>
      </c>
      <c r="C1293" s="3" t="s">
        <v>1298</v>
      </c>
      <c r="D1293" s="3">
        <f>T("")</f>
      </c>
      <c r="E1293" s="3" t="str">
        <f>T("新疆青少年")</f>
        <v>新疆青少年</v>
      </c>
      <c r="F1293" s="3">
        <v>8</v>
      </c>
      <c r="G1293" s="3">
        <v>48</v>
      </c>
    </row>
    <row r="1294" spans="1:7" ht="14.25">
      <c r="A1294" s="3" t="str">
        <f>T("53719116")</f>
        <v>53719116</v>
      </c>
      <c r="B1294" s="14" t="s">
        <v>5986</v>
      </c>
      <c r="C1294" s="3" t="s">
        <v>1299</v>
      </c>
      <c r="D1294" s="3">
        <f>T("")</f>
      </c>
      <c r="E1294" s="3" t="str">
        <f>T("新疆青少年")</f>
        <v>新疆青少年</v>
      </c>
      <c r="F1294" s="3">
        <v>8</v>
      </c>
      <c r="G1294" s="3">
        <v>48</v>
      </c>
    </row>
    <row r="1295" spans="1:7" ht="14.25">
      <c r="A1295" s="3" t="str">
        <f>T("53719117")</f>
        <v>53719117</v>
      </c>
      <c r="B1295" s="14" t="s">
        <v>5988</v>
      </c>
      <c r="C1295" s="3" t="s">
        <v>1300</v>
      </c>
      <c r="D1295" s="3">
        <f>T("")</f>
      </c>
      <c r="E1295" s="3" t="str">
        <f>T("新疆青少年")</f>
        <v>新疆青少年</v>
      </c>
      <c r="F1295" s="3">
        <v>8</v>
      </c>
      <c r="G1295" s="3">
        <v>48</v>
      </c>
    </row>
    <row r="1296" spans="1:7" ht="14.25">
      <c r="A1296" s="3" t="str">
        <f>T("53719118")</f>
        <v>53719118</v>
      </c>
      <c r="B1296" s="14" t="s">
        <v>5990</v>
      </c>
      <c r="C1296" s="3" t="s">
        <v>1301</v>
      </c>
      <c r="D1296" s="3">
        <f>T("")</f>
      </c>
      <c r="E1296" s="3" t="str">
        <f>T("新疆青少年")</f>
        <v>新疆青少年</v>
      </c>
      <c r="F1296" s="3">
        <v>8</v>
      </c>
      <c r="G1296" s="3">
        <v>48</v>
      </c>
    </row>
    <row r="1297" spans="1:7" ht="14.25">
      <c r="A1297" s="3" t="str">
        <f>T("53719119")</f>
        <v>53719119</v>
      </c>
      <c r="B1297" s="14" t="s">
        <v>5992</v>
      </c>
      <c r="C1297" s="3" t="s">
        <v>1302</v>
      </c>
      <c r="D1297" s="3" t="str">
        <f>T("未建檔")</f>
        <v>未建檔</v>
      </c>
      <c r="E1297" s="3" t="str">
        <f>T("新疆青少年")</f>
        <v>新疆青少年</v>
      </c>
      <c r="F1297" s="3">
        <v>26</v>
      </c>
      <c r="G1297" s="3">
        <v>156</v>
      </c>
    </row>
    <row r="1298" spans="1:7" ht="14.25">
      <c r="A1298" s="3" t="str">
        <f>T("53719224")</f>
        <v>53719224</v>
      </c>
      <c r="B1298" s="14" t="s">
        <v>5994</v>
      </c>
      <c r="C1298" s="3" t="s">
        <v>1303</v>
      </c>
      <c r="D1298" s="3" t="str">
        <f>T("未建檔")</f>
        <v>未建檔</v>
      </c>
      <c r="E1298" s="3" t="str">
        <f>T("新疆青少年")</f>
        <v>新疆青少年</v>
      </c>
      <c r="F1298" s="3">
        <v>54</v>
      </c>
      <c r="G1298" s="3">
        <v>324</v>
      </c>
    </row>
    <row r="1299" spans="1:7" ht="14.25">
      <c r="A1299" s="3" t="str">
        <f>T("53719240")</f>
        <v>53719240</v>
      </c>
      <c r="B1299" s="14" t="s">
        <v>5996</v>
      </c>
      <c r="C1299" s="3" t="s">
        <v>6</v>
      </c>
      <c r="D1299" s="3" t="str">
        <f>T("未建檔")</f>
        <v>未建檔</v>
      </c>
      <c r="E1299" s="3" t="str">
        <f>T("新疆青少年")</f>
        <v>新疆青少年</v>
      </c>
      <c r="F1299" s="3">
        <v>12</v>
      </c>
      <c r="G1299" s="3">
        <v>72</v>
      </c>
    </row>
    <row r="1300" spans="1:7" ht="14.25">
      <c r="A1300" s="3" t="str">
        <f>T("53719241")</f>
        <v>53719241</v>
      </c>
      <c r="B1300" s="14" t="s">
        <v>5998</v>
      </c>
      <c r="C1300" s="3" t="s">
        <v>1304</v>
      </c>
      <c r="D1300" s="3" t="str">
        <f>T("未建檔")</f>
        <v>未建檔</v>
      </c>
      <c r="E1300" s="3" t="str">
        <f>T("新疆青少年")</f>
        <v>新疆青少年</v>
      </c>
      <c r="F1300" s="3">
        <v>12</v>
      </c>
      <c r="G1300" s="3">
        <v>72</v>
      </c>
    </row>
    <row r="1301" spans="1:7" ht="14.25">
      <c r="A1301" s="3" t="str">
        <f>T("53719242")</f>
        <v>53719242</v>
      </c>
      <c r="B1301" s="14" t="s">
        <v>6000</v>
      </c>
      <c r="C1301" s="3" t="s">
        <v>1305</v>
      </c>
      <c r="D1301" s="3" t="str">
        <f>T("未建檔")</f>
        <v>未建檔</v>
      </c>
      <c r="E1301" s="3" t="str">
        <f>T("新疆青少年")</f>
        <v>新疆青少年</v>
      </c>
      <c r="F1301" s="3">
        <v>12</v>
      </c>
      <c r="G1301" s="3">
        <v>72</v>
      </c>
    </row>
    <row r="1302" spans="1:7" ht="14.25">
      <c r="A1302" s="3" t="str">
        <f>T("53719304")</f>
        <v>53719304</v>
      </c>
      <c r="B1302" s="14" t="s">
        <v>6002</v>
      </c>
      <c r="C1302" s="3" t="s">
        <v>1306</v>
      </c>
      <c r="D1302" s="3" t="str">
        <f>T("未建檔")</f>
        <v>未建檔</v>
      </c>
      <c r="E1302" s="3" t="str">
        <f>T("新疆青少年")</f>
        <v>新疆青少年</v>
      </c>
      <c r="F1302" s="3">
        <v>7.8</v>
      </c>
      <c r="G1302" s="3">
        <v>47</v>
      </c>
    </row>
    <row r="1303" spans="1:7" ht="14.25">
      <c r="A1303" s="3" t="str">
        <f>T("53719306")</f>
        <v>53719306</v>
      </c>
      <c r="B1303" s="14" t="s">
        <v>6004</v>
      </c>
      <c r="C1303" s="3" t="s">
        <v>1307</v>
      </c>
      <c r="D1303" s="3" t="str">
        <f>T("未建檔")</f>
        <v>未建檔</v>
      </c>
      <c r="E1303" s="3" t="str">
        <f>T("新疆青少年")</f>
        <v>新疆青少年</v>
      </c>
      <c r="F1303" s="3">
        <v>7.8</v>
      </c>
      <c r="G1303" s="3">
        <v>47</v>
      </c>
    </row>
    <row r="1304" spans="1:7" ht="14.25">
      <c r="A1304" s="3" t="str">
        <f>T("53719307")</f>
        <v>53719307</v>
      </c>
      <c r="B1304" s="14" t="s">
        <v>6006</v>
      </c>
      <c r="C1304" s="3" t="s">
        <v>1308</v>
      </c>
      <c r="D1304" s="3" t="str">
        <f>T("未建檔")</f>
        <v>未建檔</v>
      </c>
      <c r="E1304" s="3" t="str">
        <f>T("新疆青少年")</f>
        <v>新疆青少年</v>
      </c>
      <c r="F1304" s="3">
        <v>7.8</v>
      </c>
      <c r="G1304" s="3">
        <v>47</v>
      </c>
    </row>
    <row r="1305" spans="1:7" ht="14.25">
      <c r="A1305" s="3" t="str">
        <f>T("53719308")</f>
        <v>53719308</v>
      </c>
      <c r="B1305" s="14" t="s">
        <v>6008</v>
      </c>
      <c r="C1305" s="3" t="s">
        <v>1309</v>
      </c>
      <c r="D1305" s="3" t="str">
        <f>T("未建檔")</f>
        <v>未建檔</v>
      </c>
      <c r="E1305" s="3" t="str">
        <f>T("新疆青少年")</f>
        <v>新疆青少年</v>
      </c>
      <c r="F1305" s="3">
        <v>7.8</v>
      </c>
      <c r="G1305" s="3">
        <v>47</v>
      </c>
    </row>
    <row r="1306" spans="1:7" ht="14.25">
      <c r="A1306" s="3" t="str">
        <f>T("53719309")</f>
        <v>53719309</v>
      </c>
      <c r="B1306" s="14" t="s">
        <v>6010</v>
      </c>
      <c r="C1306" s="3" t="s">
        <v>1310</v>
      </c>
      <c r="D1306" s="3" t="str">
        <f>T("未建檔")</f>
        <v>未建檔</v>
      </c>
      <c r="E1306" s="3" t="str">
        <f>T("新疆青少年")</f>
        <v>新疆青少年</v>
      </c>
      <c r="F1306" s="3">
        <v>7.8</v>
      </c>
      <c r="G1306" s="3">
        <v>47</v>
      </c>
    </row>
    <row r="1307" spans="1:7" ht="14.25">
      <c r="A1307" s="3" t="str">
        <f>T("53719310")</f>
        <v>53719310</v>
      </c>
      <c r="B1307" s="14" t="s">
        <v>6012</v>
      </c>
      <c r="C1307" s="3" t="s">
        <v>1311</v>
      </c>
      <c r="D1307" s="3" t="str">
        <f>T("未建檔")</f>
        <v>未建檔</v>
      </c>
      <c r="E1307" s="3" t="str">
        <f>T("新疆青少年")</f>
        <v>新疆青少年</v>
      </c>
      <c r="F1307" s="3">
        <v>7.8</v>
      </c>
      <c r="G1307" s="3">
        <v>47</v>
      </c>
    </row>
    <row r="1308" spans="1:7" ht="14.25">
      <c r="A1308" s="3" t="str">
        <f>T("53719311")</f>
        <v>53719311</v>
      </c>
      <c r="B1308" s="14" t="s">
        <v>6014</v>
      </c>
      <c r="C1308" s="3" t="s">
        <v>1312</v>
      </c>
      <c r="D1308" s="3" t="str">
        <f>T("未建檔")</f>
        <v>未建檔</v>
      </c>
      <c r="E1308" s="3" t="str">
        <f>T("新疆青少年")</f>
        <v>新疆青少年</v>
      </c>
      <c r="F1308" s="3">
        <v>7.8</v>
      </c>
      <c r="G1308" s="3">
        <v>47</v>
      </c>
    </row>
    <row r="1309" spans="1:7" ht="14.25">
      <c r="A1309" s="3" t="str">
        <f>T("53719313")</f>
        <v>53719313</v>
      </c>
      <c r="B1309" s="14" t="s">
        <v>6016</v>
      </c>
      <c r="C1309" s="3" t="s">
        <v>1313</v>
      </c>
      <c r="D1309" s="3" t="str">
        <f>T("未建檔")</f>
        <v>未建檔</v>
      </c>
      <c r="E1309" s="3" t="str">
        <f>T("新疆青少年")</f>
        <v>新疆青少年</v>
      </c>
      <c r="F1309" s="3">
        <v>7.8</v>
      </c>
      <c r="G1309" s="3">
        <v>47</v>
      </c>
    </row>
    <row r="1310" spans="1:7" ht="14.25">
      <c r="A1310" s="3" t="str">
        <f>T("53719314")</f>
        <v>53719314</v>
      </c>
      <c r="B1310" s="14" t="s">
        <v>6018</v>
      </c>
      <c r="C1310" s="3" t="s">
        <v>1314</v>
      </c>
      <c r="D1310" s="3" t="str">
        <f>T("未建檔")</f>
        <v>未建檔</v>
      </c>
      <c r="E1310" s="3" t="str">
        <f>T("新疆青少年")</f>
        <v>新疆青少年</v>
      </c>
      <c r="F1310" s="3">
        <v>7.8</v>
      </c>
      <c r="G1310" s="3">
        <v>47</v>
      </c>
    </row>
    <row r="1311" spans="1:7" ht="14.25">
      <c r="A1311" s="3" t="str">
        <f>T("53719315")</f>
        <v>53719315</v>
      </c>
      <c r="B1311" s="14" t="s">
        <v>6020</v>
      </c>
      <c r="C1311" s="3" t="s">
        <v>1315</v>
      </c>
      <c r="D1311" s="3" t="str">
        <f>T("未建檔")</f>
        <v>未建檔</v>
      </c>
      <c r="E1311" s="3" t="str">
        <f>T("新疆青少年")</f>
        <v>新疆青少年</v>
      </c>
      <c r="F1311" s="3">
        <v>7.8</v>
      </c>
      <c r="G1311" s="3">
        <v>47</v>
      </c>
    </row>
    <row r="1312" spans="1:7" ht="14.25">
      <c r="A1312" s="3" t="str">
        <f>T("53719316")</f>
        <v>53719316</v>
      </c>
      <c r="B1312" s="14" t="s">
        <v>6022</v>
      </c>
      <c r="C1312" s="3" t="s">
        <v>1316</v>
      </c>
      <c r="D1312" s="3" t="str">
        <f>T("未建檔")</f>
        <v>未建檔</v>
      </c>
      <c r="E1312" s="3" t="str">
        <f>T("新疆青少年")</f>
        <v>新疆青少年</v>
      </c>
      <c r="F1312" s="3">
        <v>7.8</v>
      </c>
      <c r="G1312" s="3">
        <v>47</v>
      </c>
    </row>
    <row r="1313" spans="1:7" ht="14.25">
      <c r="A1313" s="3" t="str">
        <f>T("53719317")</f>
        <v>53719317</v>
      </c>
      <c r="B1313" s="14" t="s">
        <v>6024</v>
      </c>
      <c r="C1313" s="3" t="s">
        <v>1317</v>
      </c>
      <c r="D1313" s="3" t="str">
        <f>T("未建檔")</f>
        <v>未建檔</v>
      </c>
      <c r="E1313" s="3" t="str">
        <f>T("新疆青少年")</f>
        <v>新疆青少年</v>
      </c>
      <c r="F1313" s="3">
        <v>7.8</v>
      </c>
      <c r="G1313" s="3">
        <v>47</v>
      </c>
    </row>
    <row r="1314" spans="1:7" ht="14.25">
      <c r="A1314" s="3" t="str">
        <f>T("53719318")</f>
        <v>53719318</v>
      </c>
      <c r="B1314" s="14" t="s">
        <v>6026</v>
      </c>
      <c r="C1314" s="3" t="s">
        <v>1318</v>
      </c>
      <c r="D1314" s="3" t="str">
        <f>T("未建檔")</f>
        <v>未建檔</v>
      </c>
      <c r="E1314" s="3" t="str">
        <f>T("新疆青少年")</f>
        <v>新疆青少年</v>
      </c>
      <c r="F1314" s="3">
        <v>7.8</v>
      </c>
      <c r="G1314" s="3">
        <v>47</v>
      </c>
    </row>
    <row r="1315" spans="1:7" ht="14.25">
      <c r="A1315" s="3" t="str">
        <f>T("53719322")</f>
        <v>53719322</v>
      </c>
      <c r="B1315" s="14" t="s">
        <v>6028</v>
      </c>
      <c r="C1315" s="3" t="s">
        <v>1319</v>
      </c>
      <c r="D1315" s="3" t="str">
        <f>T("未建檔")</f>
        <v>未建檔</v>
      </c>
      <c r="E1315" s="3" t="str">
        <f>T("新疆青少年")</f>
        <v>新疆青少年</v>
      </c>
      <c r="F1315" s="3">
        <v>13</v>
      </c>
      <c r="G1315" s="3">
        <v>78</v>
      </c>
    </row>
    <row r="1316" spans="1:7" ht="14.25">
      <c r="A1316" s="3" t="str">
        <f>T("53719327")</f>
        <v>53719327</v>
      </c>
      <c r="B1316" s="14" t="s">
        <v>6030</v>
      </c>
      <c r="C1316" s="3" t="s">
        <v>1320</v>
      </c>
      <c r="D1316" s="3" t="str">
        <f>T("未建檔")</f>
        <v>未建檔</v>
      </c>
      <c r="E1316" s="3" t="str">
        <f>T("新疆青少年")</f>
        <v>新疆青少年</v>
      </c>
      <c r="F1316" s="3">
        <v>29.8</v>
      </c>
      <c r="G1316" s="3">
        <v>179</v>
      </c>
    </row>
    <row r="1317" spans="1:7" ht="14.25">
      <c r="A1317" s="3" t="str">
        <f>T("53719328")</f>
        <v>53719328</v>
      </c>
      <c r="B1317" s="14" t="s">
        <v>6032</v>
      </c>
      <c r="C1317" s="3" t="s">
        <v>1321</v>
      </c>
      <c r="D1317" s="3" t="str">
        <f>T("未建檔")</f>
        <v>未建檔</v>
      </c>
      <c r="E1317" s="3" t="str">
        <f>T("新疆青少年")</f>
        <v>新疆青少年</v>
      </c>
      <c r="F1317" s="3">
        <v>13</v>
      </c>
      <c r="G1317" s="3">
        <v>78</v>
      </c>
    </row>
    <row r="1318" spans="1:7" ht="14.25">
      <c r="A1318" s="3" t="str">
        <f>T("53719413")</f>
        <v>53719413</v>
      </c>
      <c r="B1318" s="14" t="s">
        <v>6034</v>
      </c>
      <c r="C1318" s="3" t="s">
        <v>1322</v>
      </c>
      <c r="D1318" s="3" t="str">
        <f>T("未建檔")</f>
        <v>未建檔</v>
      </c>
      <c r="E1318" s="3" t="str">
        <f>T("新疆青少年")</f>
        <v>新疆青少年</v>
      </c>
      <c r="F1318" s="3">
        <v>15.8</v>
      </c>
      <c r="G1318" s="3">
        <v>95</v>
      </c>
    </row>
    <row r="1319" spans="1:7" ht="14.25">
      <c r="A1319" s="3" t="str">
        <f>T("53719815")</f>
        <v>53719815</v>
      </c>
      <c r="B1319" s="14" t="s">
        <v>6036</v>
      </c>
      <c r="C1319" s="3" t="s">
        <v>1323</v>
      </c>
      <c r="D1319" s="3" t="str">
        <f>T("未建檔")</f>
        <v>未建檔</v>
      </c>
      <c r="E1319" s="3" t="str">
        <f>T("新疆青少年")</f>
        <v>新疆青少年</v>
      </c>
      <c r="F1319" s="3">
        <v>13</v>
      </c>
      <c r="G1319" s="3">
        <v>78</v>
      </c>
    </row>
    <row r="1320" spans="1:7" ht="14.25">
      <c r="A1320" s="3" t="str">
        <f>T("53719818")</f>
        <v>53719818</v>
      </c>
      <c r="B1320" s="14" t="s">
        <v>6038</v>
      </c>
      <c r="C1320" s="3" t="s">
        <v>1324</v>
      </c>
      <c r="D1320" s="3" t="str">
        <f>T("未建檔")</f>
        <v>未建檔</v>
      </c>
      <c r="E1320" s="3" t="str">
        <f>T("新疆青少年")</f>
        <v>新疆青少年</v>
      </c>
      <c r="F1320" s="3">
        <v>39.8</v>
      </c>
      <c r="G1320" s="3">
        <v>239</v>
      </c>
    </row>
    <row r="1321" spans="1:7" ht="14.25">
      <c r="A1321" s="3" t="str">
        <f>T("53719994")</f>
        <v>53719994</v>
      </c>
      <c r="B1321" s="14" t="s">
        <v>6040</v>
      </c>
      <c r="C1321" s="3" t="s">
        <v>1325</v>
      </c>
      <c r="D1321" s="3" t="str">
        <f>T("未建檔")</f>
        <v>未建檔</v>
      </c>
      <c r="E1321" s="3" t="str">
        <f>T("新疆青少年")</f>
        <v>新疆青少年</v>
      </c>
      <c r="F1321" s="3">
        <v>13</v>
      </c>
      <c r="G1321" s="3">
        <v>78</v>
      </c>
    </row>
    <row r="1322" spans="1:7" ht="14.25">
      <c r="A1322" s="3" t="str">
        <f>T("53815087")</f>
        <v>53815087</v>
      </c>
      <c r="B1322" s="14" t="s">
        <v>6042</v>
      </c>
      <c r="C1322" s="3" t="s">
        <v>1326</v>
      </c>
      <c r="D1322" s="3" t="str">
        <f>T("甯雲龍")</f>
        <v>甯雲龍</v>
      </c>
      <c r="E1322" s="3" t="str">
        <f>T("遼寧科技")</f>
        <v>遼寧科技</v>
      </c>
      <c r="F1322" s="3">
        <v>38</v>
      </c>
      <c r="G1322" s="3">
        <v>228</v>
      </c>
    </row>
    <row r="1323" spans="1:7" ht="14.25">
      <c r="A1323" s="3" t="str">
        <f>T("53815088")</f>
        <v>53815088</v>
      </c>
      <c r="B1323" s="14" t="s">
        <v>6046</v>
      </c>
      <c r="C1323" s="3" t="s">
        <v>1327</v>
      </c>
      <c r="D1323" s="3" t="str">
        <f>T("甯雲龍")</f>
        <v>甯雲龍</v>
      </c>
      <c r="E1323" s="3" t="str">
        <f>T("遼寧科技")</f>
        <v>遼寧科技</v>
      </c>
      <c r="F1323" s="3">
        <v>38</v>
      </c>
      <c r="G1323" s="3">
        <v>228</v>
      </c>
    </row>
    <row r="1324" spans="1:7" ht="14.25">
      <c r="A1324" s="3" t="str">
        <f>T("53828966")</f>
        <v>53828966</v>
      </c>
      <c r="B1324" s="14" t="s">
        <v>6048</v>
      </c>
      <c r="C1324" s="3" t="s">
        <v>1328</v>
      </c>
      <c r="D1324" s="3" t="str">
        <f>T("江南水")</f>
        <v>江南水</v>
      </c>
      <c r="E1324" s="3" t="str">
        <f>T("遼寧教育")</f>
        <v>遼寧教育</v>
      </c>
      <c r="F1324" s="3">
        <v>29.8</v>
      </c>
      <c r="G1324" s="3">
        <v>179</v>
      </c>
    </row>
    <row r="1325" spans="1:7" ht="14.25">
      <c r="A1325" s="3" t="str">
        <f>T("53854334")</f>
        <v>53854334</v>
      </c>
      <c r="B1325" s="14" t="s">
        <v>6052</v>
      </c>
      <c r="C1325" s="3" t="s">
        <v>1329</v>
      </c>
      <c r="D1325" s="3" t="str">
        <f>T("張超")</f>
        <v>張超</v>
      </c>
      <c r="E1325" s="3" t="str">
        <f>T("北方婦兒")</f>
        <v>北方婦兒</v>
      </c>
      <c r="F1325" s="3">
        <v>24.8</v>
      </c>
      <c r="G1325" s="3">
        <v>149</v>
      </c>
    </row>
    <row r="1326" spans="1:7" ht="14.25">
      <c r="A1326" s="3" t="str">
        <f>T("53854422")</f>
        <v>53854422</v>
      </c>
      <c r="B1326" s="14" t="s">
        <v>6056</v>
      </c>
      <c r="C1326" s="3" t="s">
        <v>1330</v>
      </c>
      <c r="D1326" s="3" t="str">
        <f>T("孟令哉. 主編")</f>
        <v>孟令哉. 主編</v>
      </c>
      <c r="E1326" s="3" t="str">
        <f>T("北方婦兒")</f>
        <v>北方婦兒</v>
      </c>
      <c r="F1326" s="3">
        <v>19.8</v>
      </c>
      <c r="G1326" s="3">
        <v>119</v>
      </c>
    </row>
    <row r="1327" spans="1:7" ht="14.25">
      <c r="A1327" s="3" t="str">
        <f>T("53872341")</f>
        <v>53872341</v>
      </c>
      <c r="B1327" s="14" t="s">
        <v>6059</v>
      </c>
      <c r="C1327" s="3" t="s">
        <v>1331</v>
      </c>
      <c r="D1327" s="3" t="str">
        <f>T("[清]朱琰")</f>
        <v>[清]朱琰</v>
      </c>
      <c r="E1327" s="3" t="str">
        <f>T("時代文藝")</f>
        <v>時代文藝</v>
      </c>
      <c r="F1327" s="3">
        <v>18.5</v>
      </c>
      <c r="G1327" s="3">
        <v>111</v>
      </c>
    </row>
    <row r="1328" spans="1:7" ht="14.25">
      <c r="A1328" s="3" t="str">
        <f>T("53872343")</f>
        <v>53872343</v>
      </c>
      <c r="B1328" s="14" t="s">
        <v>6063</v>
      </c>
      <c r="C1328" s="3" t="s">
        <v>1332</v>
      </c>
      <c r="D1328" s="3" t="str">
        <f>T("康有為")</f>
        <v>康有為</v>
      </c>
      <c r="E1328" s="3" t="str">
        <f>T("時代文藝")</f>
        <v>時代文藝</v>
      </c>
      <c r="F1328" s="3">
        <v>54.5</v>
      </c>
      <c r="G1328" s="3">
        <v>327</v>
      </c>
    </row>
    <row r="1329" spans="1:7" ht="14.25">
      <c r="A1329" s="3" t="str">
        <f>T("53872346")</f>
        <v>53872346</v>
      </c>
      <c r="B1329" s="14" t="s">
        <v>6066</v>
      </c>
      <c r="C1329" s="3" t="s">
        <v>1333</v>
      </c>
      <c r="D1329" s="3" t="str">
        <f>T("[戰國]公孫龍")</f>
        <v>[戰國]公孫龍</v>
      </c>
      <c r="E1329" s="3" t="str">
        <f>T("時代文藝")</f>
        <v>時代文藝</v>
      </c>
      <c r="F1329" s="3">
        <v>8.5</v>
      </c>
      <c r="G1329" s="3">
        <v>51</v>
      </c>
    </row>
    <row r="1330" spans="1:7" ht="14.25">
      <c r="A1330" s="3" t="str">
        <f>T("53872347")</f>
        <v>53872347</v>
      </c>
      <c r="B1330" s="14" t="s">
        <v>6069</v>
      </c>
      <c r="C1330" s="3" t="s">
        <v>1334</v>
      </c>
      <c r="D1330" s="3" t="str">
        <f>T("[春秋]管仲")</f>
        <v>[春秋]管仲</v>
      </c>
      <c r="E1330" s="3" t="str">
        <f>T("時代文藝")</f>
        <v>時代文藝</v>
      </c>
      <c r="F1330" s="3">
        <v>48</v>
      </c>
      <c r="G1330" s="3">
        <v>288</v>
      </c>
    </row>
    <row r="1331" spans="1:7" ht="14.25">
      <c r="A1331" s="3" t="str">
        <f>T("53872348")</f>
        <v>53872348</v>
      </c>
      <c r="B1331" s="14" t="s">
        <v>6072</v>
      </c>
      <c r="C1331" s="3" t="s">
        <v>1335</v>
      </c>
      <c r="D1331" s="3" t="str">
        <f>T("[春秋]左丘明")</f>
        <v>[春秋]左丘明</v>
      </c>
      <c r="E1331" s="3" t="str">
        <f>T("時代文藝")</f>
        <v>時代文藝</v>
      </c>
      <c r="F1331" s="3">
        <v>31</v>
      </c>
      <c r="G1331" s="3">
        <v>186</v>
      </c>
    </row>
    <row r="1332" spans="1:7" ht="14.25">
      <c r="A1332" s="3" t="str">
        <f>T("53872349")</f>
        <v>53872349</v>
      </c>
      <c r="B1332" s="14" t="s">
        <v>6075</v>
      </c>
      <c r="C1332" s="3" t="s">
        <v>1336</v>
      </c>
      <c r="D1332" s="3" t="str">
        <f>T("[戰國]韓非")</f>
        <v>[戰國]韓非</v>
      </c>
      <c r="E1332" s="3" t="str">
        <f>T("時代文藝")</f>
        <v>時代文藝</v>
      </c>
      <c r="F1332" s="3">
        <v>43</v>
      </c>
      <c r="G1332" s="3">
        <v>258</v>
      </c>
    </row>
    <row r="1333" spans="1:7" ht="14.25">
      <c r="A1333" s="3" t="str">
        <f>T("53872351")</f>
        <v>53872351</v>
      </c>
      <c r="B1333" s="14" t="s">
        <v>6078</v>
      </c>
      <c r="C1333" s="3" t="s">
        <v>1337</v>
      </c>
      <c r="D1333" s="3" t="str">
        <f>T("[春秋]歇冠子")</f>
        <v>[春秋]歇冠子</v>
      </c>
      <c r="E1333" s="3" t="str">
        <f>T("時代文藝")</f>
        <v>時代文藝</v>
      </c>
      <c r="F1333" s="3">
        <v>14</v>
      </c>
      <c r="G1333" s="3">
        <v>84</v>
      </c>
    </row>
    <row r="1334" spans="1:7" ht="14.25">
      <c r="A1334" s="3" t="str">
        <f>T("53872353")</f>
        <v>53872353</v>
      </c>
      <c r="B1334" s="14" t="s">
        <v>6081</v>
      </c>
      <c r="C1334" s="3" t="s">
        <v>1338</v>
      </c>
      <c r="D1334" s="3" t="str">
        <f>T("[西漢]賈誼")</f>
        <v>[西漢]賈誼</v>
      </c>
      <c r="E1334" s="3" t="str">
        <f>T("時代文藝")</f>
        <v>時代文藝</v>
      </c>
      <c r="F1334" s="3">
        <v>18</v>
      </c>
      <c r="G1334" s="3">
        <v>108</v>
      </c>
    </row>
    <row r="1335" spans="1:7" ht="14.25">
      <c r="A1335" s="3" t="str">
        <f>T("53872355")</f>
        <v>53872355</v>
      </c>
      <c r="B1335" s="14" t="s">
        <v>6084</v>
      </c>
      <c r="C1335" s="3" t="s">
        <v>1339</v>
      </c>
      <c r="D1335" s="3" t="str">
        <f>T("[清]孫星衍")</f>
        <v>[清]孫星衍</v>
      </c>
      <c r="E1335" s="3" t="str">
        <f>T("時代文藝")</f>
        <v>時代文藝</v>
      </c>
      <c r="F1335" s="3">
        <v>42</v>
      </c>
      <c r="G1335" s="3">
        <v>252</v>
      </c>
    </row>
    <row r="1336" spans="1:7" ht="14.25">
      <c r="A1336" s="3" t="str">
        <f>T("53872356")</f>
        <v>53872356</v>
      </c>
      <c r="B1336" s="14" t="s">
        <v>6087</v>
      </c>
      <c r="C1336" s="3" t="s">
        <v>1340</v>
      </c>
      <c r="D1336" s="3" t="str">
        <f>T("[魏]王肅")</f>
        <v>[魏]王肅</v>
      </c>
      <c r="E1336" s="3" t="str">
        <f>T("時代文藝")</f>
        <v>時代文藝</v>
      </c>
      <c r="F1336" s="3">
        <v>22</v>
      </c>
      <c r="G1336" s="3">
        <v>132</v>
      </c>
    </row>
    <row r="1337" spans="1:7" ht="14.25">
      <c r="A1337" s="3" t="str">
        <f>T("53872357")</f>
        <v>53872357</v>
      </c>
      <c r="B1337" s="14" t="s">
        <v>6090</v>
      </c>
      <c r="C1337" s="3" t="s">
        <v>1341</v>
      </c>
      <c r="D1337" s="3" t="str">
        <f>T("[春秋]老子")</f>
        <v>[春秋]老子</v>
      </c>
      <c r="E1337" s="3" t="str">
        <f>T("時代文藝")</f>
        <v>時代文藝</v>
      </c>
      <c r="F1337" s="3">
        <v>17</v>
      </c>
      <c r="G1337" s="3">
        <v>102</v>
      </c>
    </row>
    <row r="1338" spans="1:7" ht="14.25">
      <c r="A1338" s="3" t="str">
        <f>T("53872358")</f>
        <v>53872358</v>
      </c>
      <c r="B1338" s="14" t="s">
        <v>6093</v>
      </c>
      <c r="C1338" s="3" t="s">
        <v>1342</v>
      </c>
      <c r="D1338" s="3" t="str">
        <f>T("[戰國]列禦")</f>
        <v>[戰國]列禦</v>
      </c>
      <c r="E1338" s="3" t="str">
        <f>T("時代文藝")</f>
        <v>時代文藝</v>
      </c>
      <c r="F1338" s="3">
        <v>13</v>
      </c>
      <c r="G1338" s="3">
        <v>78</v>
      </c>
    </row>
    <row r="1339" spans="1:7" ht="14.25">
      <c r="A1339" s="3" t="str">
        <f>T("53872360")</f>
        <v>53872360</v>
      </c>
      <c r="B1339" s="14" t="s">
        <v>6096</v>
      </c>
      <c r="C1339" s="3" t="s">
        <v>1343</v>
      </c>
      <c r="D1339" s="3" t="str">
        <f>T("[周]姜尚")</f>
        <v>[周]姜尚</v>
      </c>
      <c r="E1339" s="3" t="str">
        <f>T("時代文藝")</f>
        <v>時代文藝</v>
      </c>
      <c r="F1339" s="3">
        <v>11</v>
      </c>
      <c r="G1339" s="3">
        <v>66</v>
      </c>
    </row>
    <row r="1340" spans="1:7" ht="14.25">
      <c r="A1340" s="3" t="str">
        <f>T("53872362")</f>
        <v>53872362</v>
      </c>
      <c r="B1340" s="14" t="s">
        <v>6099</v>
      </c>
      <c r="C1340" s="3" t="s">
        <v>1344</v>
      </c>
      <c r="D1340" s="3" t="str">
        <f>T("[漢]王充")</f>
        <v>[漢]王充</v>
      </c>
      <c r="E1340" s="3" t="str">
        <f>T("時代文藝")</f>
        <v>時代文藝</v>
      </c>
      <c r="F1340" s="3">
        <v>76.5</v>
      </c>
      <c r="G1340" s="3">
        <v>459</v>
      </c>
    </row>
    <row r="1341" spans="1:7" ht="14.25">
      <c r="A1341" s="3" t="str">
        <f>T("53872363")</f>
        <v>53872363</v>
      </c>
      <c r="B1341" s="14" t="s">
        <v>6102</v>
      </c>
      <c r="C1341" s="3" t="s">
        <v>1345</v>
      </c>
      <c r="D1341" s="3" t="str">
        <f>T("[北魏]楊衒之")</f>
        <v>[北魏]楊衒之</v>
      </c>
      <c r="E1341" s="3" t="str">
        <f>T("時代文藝")</f>
        <v>時代文藝</v>
      </c>
      <c r="F1341" s="3">
        <v>14</v>
      </c>
      <c r="G1341" s="3">
        <v>84</v>
      </c>
    </row>
    <row r="1342" spans="1:7" ht="14.25">
      <c r="A1342" s="3" t="str">
        <f>T("53872364")</f>
        <v>53872364</v>
      </c>
      <c r="B1342" s="14" t="s">
        <v>6105</v>
      </c>
      <c r="C1342" s="3" t="s">
        <v>1346</v>
      </c>
      <c r="D1342" s="3" t="str">
        <f>T("[戰國]孟柯")</f>
        <v>[戰國]孟柯</v>
      </c>
      <c r="E1342" s="3" t="str">
        <f>T("時代文藝")</f>
        <v>時代文藝</v>
      </c>
      <c r="F1342" s="3">
        <v>16</v>
      </c>
      <c r="G1342" s="3">
        <v>96</v>
      </c>
    </row>
    <row r="1343" spans="1:7" ht="14.25">
      <c r="A1343" s="3" t="str">
        <f>T("53872366")</f>
        <v>53872366</v>
      </c>
      <c r="B1343" s="14" t="s">
        <v>6108</v>
      </c>
      <c r="C1343" s="3" t="s">
        <v>1347</v>
      </c>
      <c r="D1343" s="3" t="str">
        <f>T("[戰國]墨翟")</f>
        <v>[戰國]墨翟</v>
      </c>
      <c r="E1343" s="3" t="str">
        <f>T("時代文藝")</f>
        <v>時代文藝</v>
      </c>
      <c r="F1343" s="3">
        <v>32.5</v>
      </c>
      <c r="G1343" s="3">
        <v>195</v>
      </c>
    </row>
    <row r="1344" spans="1:7" ht="14.25">
      <c r="A1344" s="3" t="str">
        <f>T("53872369")</f>
        <v>53872369</v>
      </c>
      <c r="B1344" s="14" t="s">
        <v>6111</v>
      </c>
      <c r="C1344" s="3" t="s">
        <v>1348</v>
      </c>
      <c r="D1344" s="3" t="str">
        <f>T("[戰國]申不害")</f>
        <v>[戰國]申不害</v>
      </c>
      <c r="E1344" s="3" t="str">
        <f>T("時代文藝")</f>
        <v>時代文藝</v>
      </c>
      <c r="F1344" s="3">
        <v>15</v>
      </c>
      <c r="G1344" s="3">
        <v>90</v>
      </c>
    </row>
    <row r="1345" spans="1:7" ht="14.25">
      <c r="A1345" s="3" t="str">
        <f>T("53872371")</f>
        <v>53872371</v>
      </c>
      <c r="B1345" s="14" t="s">
        <v>6114</v>
      </c>
      <c r="C1345" s="3" t="s">
        <v>1349</v>
      </c>
      <c r="D1345" s="3" t="str">
        <f>T("[唐]劉知幾")</f>
        <v>[唐]劉知幾</v>
      </c>
      <c r="E1345" s="3" t="str">
        <f>T("時代文藝")</f>
        <v>時代文藝</v>
      </c>
      <c r="F1345" s="3">
        <v>35.5</v>
      </c>
      <c r="G1345" s="3">
        <v>213</v>
      </c>
    </row>
    <row r="1346" spans="1:7" ht="14.25">
      <c r="A1346" s="3" t="str">
        <f>T("53872372")</f>
        <v>53872372</v>
      </c>
      <c r="B1346" s="14" t="s">
        <v>6117</v>
      </c>
      <c r="C1346" s="3" t="s">
        <v>1350</v>
      </c>
      <c r="D1346" s="3" t="str">
        <f>T("[漢]宋衷")</f>
        <v>[漢]宋衷</v>
      </c>
      <c r="E1346" s="3" t="str">
        <f>T("時代文藝")</f>
        <v>時代文藝</v>
      </c>
      <c r="F1346" s="3">
        <v>13.5</v>
      </c>
      <c r="G1346" s="3">
        <v>81</v>
      </c>
    </row>
    <row r="1347" spans="1:7" ht="14.25">
      <c r="A1347" s="3" t="str">
        <f>T("53872380")</f>
        <v>53872380</v>
      </c>
      <c r="B1347" s="14" t="s">
        <v>6120</v>
      </c>
      <c r="C1347" s="3" t="s">
        <v>1351</v>
      </c>
      <c r="D1347" s="3" t="str">
        <f>T("[宋]蘇易簡")</f>
        <v>[宋]蘇易簡</v>
      </c>
      <c r="E1347" s="3" t="str">
        <f>T("時代文藝")</f>
        <v>時代文藝</v>
      </c>
      <c r="F1347" s="3">
        <v>16.5</v>
      </c>
      <c r="G1347" s="3">
        <v>99</v>
      </c>
    </row>
    <row r="1348" spans="1:7" ht="14.25">
      <c r="A1348" s="3" t="str">
        <f>T("53872382")</f>
        <v>53872382</v>
      </c>
      <c r="B1348" s="14" t="s">
        <v>6123</v>
      </c>
      <c r="C1348" s="3" t="s">
        <v>1352</v>
      </c>
      <c r="D1348" s="3" t="str">
        <f>T("[周]文子")</f>
        <v>[周]文子</v>
      </c>
      <c r="E1348" s="3" t="str">
        <f>T("時代文藝")</f>
        <v>時代文藝</v>
      </c>
      <c r="F1348" s="3">
        <v>16</v>
      </c>
      <c r="G1348" s="3">
        <v>96</v>
      </c>
    </row>
    <row r="1349" spans="1:7" ht="14.25">
      <c r="A1349" s="3" t="str">
        <f>T("53872383")</f>
        <v>53872383</v>
      </c>
      <c r="B1349" s="14" t="s">
        <v>6126</v>
      </c>
      <c r="C1349" s="3" t="s">
        <v>1353</v>
      </c>
      <c r="D1349" s="3" t="str">
        <f>T("[東漢]趙曄")</f>
        <v>[東漢]趙曄</v>
      </c>
      <c r="E1349" s="3" t="str">
        <f>T("時代文藝")</f>
        <v>時代文藝</v>
      </c>
      <c r="F1349" s="3">
        <v>16.5</v>
      </c>
      <c r="G1349" s="3">
        <v>99</v>
      </c>
    </row>
    <row r="1350" spans="1:7" ht="14.25">
      <c r="A1350" s="3" t="str">
        <f>T("53872385")</f>
        <v>53872385</v>
      </c>
      <c r="B1350" s="14" t="s">
        <v>6129</v>
      </c>
      <c r="C1350" s="3" t="s">
        <v>1354</v>
      </c>
      <c r="D1350" s="3" t="str">
        <f>T("[唐]杜佑")</f>
        <v>[唐]杜佑</v>
      </c>
      <c r="E1350" s="3" t="str">
        <f>T("時代文藝")</f>
        <v>時代文藝</v>
      </c>
      <c r="F1350" s="3">
        <v>29.5</v>
      </c>
      <c r="G1350" s="3">
        <v>177</v>
      </c>
    </row>
    <row r="1351" spans="1:7" ht="14.25">
      <c r="A1351" s="3" t="str">
        <f>T("53872386")</f>
        <v>53872386</v>
      </c>
      <c r="B1351" s="14" t="s">
        <v>6132</v>
      </c>
      <c r="C1351" s="3" t="s">
        <v>1355</v>
      </c>
      <c r="D1351" s="3" t="str">
        <f>T("[元]陸友")</f>
        <v>[元]陸友</v>
      </c>
      <c r="E1351" s="3" t="str">
        <f>T("時代文藝")</f>
        <v>時代文藝</v>
      </c>
      <c r="F1351" s="3">
        <v>15</v>
      </c>
      <c r="G1351" s="3">
        <v>90</v>
      </c>
    </row>
    <row r="1352" spans="1:7" ht="14.25">
      <c r="A1352" s="3" t="str">
        <f>T("53872387")</f>
        <v>53872387</v>
      </c>
      <c r="B1352" s="14" t="s">
        <v>6135</v>
      </c>
      <c r="C1352" s="3" t="s">
        <v>1356</v>
      </c>
      <c r="D1352" s="3" t="str">
        <f>T("[西漢]揚雄")</f>
        <v>[西漢]揚雄</v>
      </c>
      <c r="E1352" s="3" t="str">
        <f>T("時代文藝")</f>
        <v>時代文藝</v>
      </c>
      <c r="F1352" s="3">
        <v>15</v>
      </c>
      <c r="G1352" s="3">
        <v>90</v>
      </c>
    </row>
    <row r="1353" spans="1:7" ht="14.25">
      <c r="A1353" s="3" t="str">
        <f>T("53872389")</f>
        <v>53872389</v>
      </c>
      <c r="B1353" s="14" t="s">
        <v>6138</v>
      </c>
      <c r="C1353" s="3" t="s">
        <v>1357</v>
      </c>
      <c r="D1353" s="3" t="str">
        <f>T("[東漢]袁康")</f>
        <v>[東漢]袁康</v>
      </c>
      <c r="E1353" s="3" t="str">
        <f>T("時代文藝")</f>
        <v>時代文藝</v>
      </c>
      <c r="F1353" s="3">
        <v>13.5</v>
      </c>
      <c r="G1353" s="3">
        <v>81</v>
      </c>
    </row>
    <row r="1354" spans="1:7" ht="14.25">
      <c r="A1354" s="3" t="str">
        <f>T("53872391")</f>
        <v>53872391</v>
      </c>
      <c r="B1354" s="14" t="s">
        <v>6141</v>
      </c>
      <c r="C1354" s="3" t="s">
        <v>1358</v>
      </c>
      <c r="D1354" s="3" t="str">
        <f>T("劉向[西漢]")</f>
        <v>劉向[西漢]</v>
      </c>
      <c r="E1354" s="3" t="str">
        <f>T("時代文藝")</f>
        <v>時代文藝</v>
      </c>
      <c r="F1354" s="3">
        <v>55</v>
      </c>
      <c r="G1354" s="3">
        <v>330</v>
      </c>
    </row>
    <row r="1355" spans="1:7" ht="14.25">
      <c r="A1355" s="3" t="str">
        <f>T("53872394")</f>
        <v>53872394</v>
      </c>
      <c r="B1355" s="14" t="s">
        <v>6144</v>
      </c>
      <c r="C1355" s="3" t="s">
        <v>1359</v>
      </c>
      <c r="D1355" s="3" t="str">
        <f>T("[隋]王通")</f>
        <v>[隋]王通</v>
      </c>
      <c r="E1355" s="3" t="str">
        <f>T("時代文藝")</f>
        <v>時代文藝</v>
      </c>
      <c r="F1355" s="3">
        <v>13</v>
      </c>
      <c r="G1355" s="3">
        <v>78</v>
      </c>
    </row>
    <row r="1356" spans="1:7" ht="14.25">
      <c r="A1356" s="3" t="str">
        <f>T("53872395")</f>
        <v>53872395</v>
      </c>
      <c r="B1356" s="14" t="s">
        <v>6147</v>
      </c>
      <c r="C1356" s="3" t="s">
        <v>1360</v>
      </c>
      <c r="D1356" s="3" t="str">
        <f>T("[魏]王弼")</f>
        <v>[魏]王弼</v>
      </c>
      <c r="E1356" s="3" t="str">
        <f>T("時代文藝")</f>
        <v>時代文藝</v>
      </c>
      <c r="F1356" s="3">
        <v>90</v>
      </c>
      <c r="G1356" s="3">
        <v>540</v>
      </c>
    </row>
    <row r="1357" spans="1:7" ht="14.25">
      <c r="A1357" s="3" t="str">
        <f>T("53872397")</f>
        <v>53872397</v>
      </c>
      <c r="B1357" s="14" t="s">
        <v>6150</v>
      </c>
      <c r="C1357" s="3" t="s">
        <v>1361</v>
      </c>
      <c r="D1357" s="3" t="str">
        <f>T("[戰國]莊周")</f>
        <v>[戰國]莊周</v>
      </c>
      <c r="E1357" s="3" t="str">
        <f>T("時代文藝")</f>
        <v>時代文藝</v>
      </c>
      <c r="F1357" s="3">
        <v>25.5</v>
      </c>
      <c r="G1357" s="3">
        <v>153</v>
      </c>
    </row>
    <row r="1358" spans="1:7" ht="14.25">
      <c r="A1358" s="3" t="str">
        <f>T("53872398")</f>
        <v>53872398</v>
      </c>
      <c r="B1358" s="14" t="s">
        <v>6153</v>
      </c>
      <c r="C1358" s="3" t="s">
        <v>1362</v>
      </c>
      <c r="D1358" s="3" t="str">
        <f>T("[宋]汪?")</f>
        <v>[宋]汪?</v>
      </c>
      <c r="E1358" s="3" t="str">
        <f>T("時代文藝")</f>
        <v>時代文藝</v>
      </c>
      <c r="F1358" s="3">
        <v>20.5</v>
      </c>
      <c r="G1358" s="3">
        <v>123</v>
      </c>
    </row>
    <row r="1359" spans="1:7" ht="14.25">
      <c r="A1359" s="3" t="str">
        <f>T("53872560")</f>
        <v>53872560</v>
      </c>
      <c r="B1359" s="14" t="s">
        <v>6156</v>
      </c>
      <c r="C1359" s="3" t="s">
        <v>1363</v>
      </c>
      <c r="D1359" s="3" t="str">
        <f>T("餘嘉錫")</f>
        <v>餘嘉錫</v>
      </c>
      <c r="E1359" s="3" t="str">
        <f>T("時代文藝")</f>
        <v>時代文藝</v>
      </c>
      <c r="F1359" s="3">
        <v>14</v>
      </c>
      <c r="G1359" s="3">
        <v>84</v>
      </c>
    </row>
    <row r="1360" spans="1:7" ht="14.25">
      <c r="A1360" s="3" t="str">
        <f>T("53872562")</f>
        <v>53872562</v>
      </c>
      <c r="B1360" s="14" t="s">
        <v>6159</v>
      </c>
      <c r="C1360" s="3" t="s">
        <v>1364</v>
      </c>
      <c r="D1360" s="3" t="str">
        <f>T("黃節著")</f>
        <v>黃節著</v>
      </c>
      <c r="E1360" s="3" t="str">
        <f>T("時代文藝")</f>
        <v>時代文藝</v>
      </c>
      <c r="F1360" s="3">
        <v>20</v>
      </c>
      <c r="G1360" s="3">
        <v>120</v>
      </c>
    </row>
    <row r="1361" spans="1:7" ht="14.25">
      <c r="A1361" s="3" t="str">
        <f>T("53872979")</f>
        <v>53872979</v>
      </c>
      <c r="B1361" s="14" t="s">
        <v>6162</v>
      </c>
      <c r="C1361" s="3" t="s">
        <v>1365</v>
      </c>
      <c r="D1361" s="3" t="str">
        <f>T("南派三叔")</f>
        <v>南派三叔</v>
      </c>
      <c r="E1361" s="3" t="str">
        <f>T("時代文藝")</f>
        <v>時代文藝</v>
      </c>
      <c r="F1361" s="3">
        <v>26.8</v>
      </c>
      <c r="G1361" s="3">
        <v>161</v>
      </c>
    </row>
    <row r="1362" spans="1:7" ht="14.25">
      <c r="A1362" s="3" t="str">
        <f>T("53885095")</f>
        <v>53885095</v>
      </c>
      <c r="B1362" s="14" t="s">
        <v>6165</v>
      </c>
      <c r="C1362" s="3" t="s">
        <v>1366</v>
      </c>
      <c r="D1362" s="3" t="str">
        <f>T("羅熙蔭")</f>
        <v>羅熙蔭</v>
      </c>
      <c r="E1362" s="3" t="str">
        <f>T("黑科技")</f>
        <v>黑科技</v>
      </c>
      <c r="F1362" s="3">
        <v>28</v>
      </c>
      <c r="G1362" s="3">
        <v>168</v>
      </c>
    </row>
    <row r="1363" spans="1:7" ht="14.25">
      <c r="A1363" s="3" t="str">
        <f>T("53925064")</f>
        <v>53925064</v>
      </c>
      <c r="B1363" s="14" t="s">
        <v>6169</v>
      </c>
      <c r="C1363" s="3" t="s">
        <v>1367</v>
      </c>
      <c r="D1363" s="3" t="str">
        <f>T("曾良著")</f>
        <v>曾良著</v>
      </c>
      <c r="E1363" s="3" t="str">
        <f>T("江西教育")</f>
        <v>江西教育</v>
      </c>
      <c r="F1363" s="3">
        <v>58</v>
      </c>
      <c r="G1363" s="3">
        <v>348</v>
      </c>
    </row>
    <row r="1364" spans="1:7" ht="14.25">
      <c r="A1364" s="3" t="str">
        <f>T("53943106")</f>
        <v>53943106</v>
      </c>
      <c r="B1364" s="14" t="s">
        <v>6173</v>
      </c>
      <c r="C1364" s="3" t="s">
        <v>1368</v>
      </c>
      <c r="D1364" s="3" t="str">
        <f>T("潘耀昌")</f>
        <v>潘耀昌</v>
      </c>
      <c r="E1364" s="3" t="str">
        <f>T("湖北美術")</f>
        <v>湖北美術</v>
      </c>
      <c r="F1364" s="3">
        <v>30</v>
      </c>
      <c r="G1364" s="3">
        <v>180</v>
      </c>
    </row>
    <row r="1365" spans="1:7" ht="14.25">
      <c r="A1365" s="3" t="str">
        <f>T("53962663")</f>
        <v>53962663</v>
      </c>
      <c r="B1365" s="14" t="s">
        <v>6177</v>
      </c>
      <c r="C1365" s="3" t="s">
        <v>1369</v>
      </c>
      <c r="D1365" s="3" t="str">
        <f>T("陳平")</f>
        <v>陳平</v>
      </c>
      <c r="E1365" s="3" t="str">
        <f>T("安徽文藝")</f>
        <v>安徽文藝</v>
      </c>
      <c r="F1365" s="3">
        <v>25</v>
      </c>
      <c r="G1365" s="3">
        <v>150</v>
      </c>
    </row>
    <row r="1366" spans="1:7" ht="14.25">
      <c r="A1366" s="3" t="str">
        <f>T("53973416")</f>
        <v>53973416</v>
      </c>
      <c r="B1366" s="14" t="s">
        <v>6184</v>
      </c>
      <c r="C1366" s="3" t="s">
        <v>1370</v>
      </c>
      <c r="D1366" s="3" t="str">
        <f>T(".")</f>
        <v>.</v>
      </c>
      <c r="E1366" s="3" t="str">
        <f>T("安徽少兒")</f>
        <v>安徽少兒</v>
      </c>
      <c r="F1366" s="3">
        <v>8.5</v>
      </c>
      <c r="G1366" s="3">
        <v>51</v>
      </c>
    </row>
    <row r="1367" spans="1:7" ht="14.25">
      <c r="A1367" s="3" t="str">
        <f>T("53981181")</f>
        <v>53981181</v>
      </c>
      <c r="B1367" s="14" t="s">
        <v>6187</v>
      </c>
      <c r="C1367" s="3" t="s">
        <v>1371</v>
      </c>
      <c r="D1367" s="3" t="str">
        <f>T("李錦璐")</f>
        <v>李錦璐</v>
      </c>
      <c r="E1367" s="3">
        <f>T("")</f>
      </c>
      <c r="F1367" s="3">
        <v>18</v>
      </c>
      <c r="G1367" s="3">
        <v>108</v>
      </c>
    </row>
    <row r="1368" spans="1:7" ht="14.25">
      <c r="A1368" s="3" t="str">
        <f>T("53992462")</f>
        <v>53992462</v>
      </c>
      <c r="B1368" s="14" t="s">
        <v>6190</v>
      </c>
      <c r="C1368" s="3" t="s">
        <v>1372</v>
      </c>
      <c r="D1368" s="3" t="str">
        <f>T("聞一多著")</f>
        <v>聞一多著</v>
      </c>
      <c r="E1368" s="3" t="str">
        <f>T("江蘇文藝")</f>
        <v>江蘇文藝</v>
      </c>
      <c r="F1368" s="3">
        <v>16</v>
      </c>
      <c r="G1368" s="3">
        <v>96</v>
      </c>
    </row>
    <row r="1369" spans="1:7" ht="14.25">
      <c r="A1369" s="3" t="str">
        <f>T("53992635")</f>
        <v>53992635</v>
      </c>
      <c r="B1369" s="14" t="s">
        <v>6194</v>
      </c>
      <c r="C1369" s="3" t="s">
        <v>1373</v>
      </c>
      <c r="D1369" s="3" t="str">
        <f>T("張蔭鱗")</f>
        <v>張蔭鱗</v>
      </c>
      <c r="E1369" s="3" t="str">
        <f>T("江蘇文藝")</f>
        <v>江蘇文藝</v>
      </c>
      <c r="F1369" s="3">
        <v>22</v>
      </c>
      <c r="G1369" s="3">
        <v>132</v>
      </c>
    </row>
    <row r="1370" spans="1:7" ht="14.25">
      <c r="A1370" s="3" t="str">
        <f>T("53992808")</f>
        <v>53992808</v>
      </c>
      <c r="B1370" s="14" t="s">
        <v>6197</v>
      </c>
      <c r="C1370" s="3" t="s">
        <v>1374</v>
      </c>
      <c r="D1370" s="3" t="str">
        <f>T("王易")</f>
        <v>王易</v>
      </c>
      <c r="E1370" s="3" t="str">
        <f>T("江蘇文藝")</f>
        <v>江蘇文藝</v>
      </c>
      <c r="F1370" s="3">
        <v>29</v>
      </c>
      <c r="G1370" s="3">
        <v>174</v>
      </c>
    </row>
    <row r="1371" spans="1:7" ht="14.25">
      <c r="A1371" s="3" t="str">
        <f>T("53992811")</f>
        <v>53992811</v>
      </c>
      <c r="B1371" s="14" t="s">
        <v>6200</v>
      </c>
      <c r="C1371" s="3" t="s">
        <v>1375</v>
      </c>
      <c r="D1371" s="3" t="str">
        <f>T("魯迅")</f>
        <v>魯迅</v>
      </c>
      <c r="E1371" s="3" t="str">
        <f>T("江蘇文藝")</f>
        <v>江蘇文藝</v>
      </c>
      <c r="F1371" s="3">
        <v>15</v>
      </c>
      <c r="G1371" s="3">
        <v>90</v>
      </c>
    </row>
    <row r="1372" spans="1:7" ht="14.25">
      <c r="A1372" s="3" t="str">
        <f>T("53992812")</f>
        <v>53992812</v>
      </c>
      <c r="B1372" s="14" t="s">
        <v>6202</v>
      </c>
      <c r="C1372" s="3" t="s">
        <v>1376</v>
      </c>
      <c r="D1372" s="3" t="str">
        <f>T("李維")</f>
        <v>李維</v>
      </c>
      <c r="E1372" s="3" t="str">
        <f>T("江蘇文藝")</f>
        <v>江蘇文藝</v>
      </c>
      <c r="F1372" s="3">
        <v>22</v>
      </c>
      <c r="G1372" s="3">
        <v>132</v>
      </c>
    </row>
    <row r="1373" spans="1:7" ht="14.25">
      <c r="A1373" s="3" t="str">
        <f>T("53992834")</f>
        <v>53992834</v>
      </c>
      <c r="B1373" s="14" t="s">
        <v>6205</v>
      </c>
      <c r="C1373" s="3" t="s">
        <v>1377</v>
      </c>
      <c r="D1373" s="3" t="str">
        <f>T("梁啟超")</f>
        <v>梁啟超</v>
      </c>
      <c r="E1373" s="3" t="str">
        <f>T("江蘇文藝")</f>
        <v>江蘇文藝</v>
      </c>
      <c r="F1373" s="3">
        <v>30</v>
      </c>
      <c r="G1373" s="3">
        <v>180</v>
      </c>
    </row>
    <row r="1374" spans="1:7" ht="14.25">
      <c r="A1374" s="3" t="str">
        <f>T("53992835")</f>
        <v>53992835</v>
      </c>
      <c r="B1374" s="14" t="s">
        <v>6207</v>
      </c>
      <c r="C1374" s="3" t="s">
        <v>1378</v>
      </c>
      <c r="D1374" s="3" t="str">
        <f>T("劉師培")</f>
        <v>劉師培</v>
      </c>
      <c r="E1374" s="3" t="str">
        <f>T("江蘇文藝")</f>
        <v>江蘇文藝</v>
      </c>
      <c r="F1374" s="3">
        <v>20</v>
      </c>
      <c r="G1374" s="3">
        <v>120</v>
      </c>
    </row>
    <row r="1375" spans="1:7" ht="14.25">
      <c r="A1375" s="3" t="str">
        <f>T("53993000")</f>
        <v>53993000</v>
      </c>
      <c r="B1375" s="14" t="s">
        <v>6210</v>
      </c>
      <c r="C1375" s="3" t="s">
        <v>1379</v>
      </c>
      <c r="D1375" s="3" t="str">
        <f>T("張承志")</f>
        <v>張承志</v>
      </c>
      <c r="E1375" s="3" t="str">
        <f>T("江蘇文藝")</f>
        <v>江蘇文藝</v>
      </c>
      <c r="F1375" s="3">
        <v>18</v>
      </c>
      <c r="G1375" s="3">
        <v>108</v>
      </c>
    </row>
    <row r="1376" spans="1:7" ht="14.25">
      <c r="A1376" s="3" t="str">
        <f>T("53993046")</f>
        <v>53993046</v>
      </c>
      <c r="B1376" s="14" t="s">
        <v>6213</v>
      </c>
      <c r="C1376" s="3" t="s">
        <v>1380</v>
      </c>
      <c r="D1376" s="3" t="str">
        <f>T("余華")</f>
        <v>余華</v>
      </c>
      <c r="E1376" s="3" t="str">
        <f>T("江蘇文藝")</f>
        <v>江蘇文藝</v>
      </c>
      <c r="F1376" s="3">
        <v>16</v>
      </c>
      <c r="G1376" s="3">
        <v>96</v>
      </c>
    </row>
    <row r="1377" spans="1:7" ht="14.25">
      <c r="A1377" s="3" t="str">
        <f>T("53993166")</f>
        <v>53993166</v>
      </c>
      <c r="B1377" s="14" t="s">
        <v>6216</v>
      </c>
      <c r="C1377" s="3" t="s">
        <v>1381</v>
      </c>
      <c r="D1377" s="3" t="str">
        <f>T("柏樺")</f>
        <v>柏樺</v>
      </c>
      <c r="E1377" s="3" t="str">
        <f>T("江蘇文藝")</f>
        <v>江蘇文藝</v>
      </c>
      <c r="F1377" s="3">
        <v>28</v>
      </c>
      <c r="G1377" s="3">
        <v>168</v>
      </c>
    </row>
    <row r="1378" spans="1:7" ht="14.25">
      <c r="A1378" s="3" t="str">
        <f>T("53993295")</f>
        <v>53993295</v>
      </c>
      <c r="B1378" s="14" t="s">
        <v>6219</v>
      </c>
      <c r="C1378" s="3" t="s">
        <v>1382</v>
      </c>
      <c r="D1378" s="3" t="str">
        <f>T("蝴蝶盅著")</f>
        <v>蝴蝶盅著</v>
      </c>
      <c r="E1378" s="3" t="str">
        <f>T("江蘇文藝")</f>
        <v>江蘇文藝</v>
      </c>
      <c r="F1378" s="3">
        <v>52</v>
      </c>
      <c r="G1378" s="3">
        <v>312</v>
      </c>
    </row>
    <row r="1379" spans="1:7" ht="14.25">
      <c r="A1379" s="3" t="str">
        <f>T("54011513")</f>
        <v>54011513</v>
      </c>
      <c r="B1379" s="14" t="s">
        <v>6222</v>
      </c>
      <c r="C1379" s="3" t="s">
        <v>1383</v>
      </c>
      <c r="D1379" s="3" t="str">
        <f>T("馬亞")</f>
        <v>馬亞</v>
      </c>
      <c r="E1379" s="3" t="str">
        <f>T("河南美術")</f>
        <v>河南美術</v>
      </c>
      <c r="F1379" s="3">
        <v>58</v>
      </c>
      <c r="G1379" s="3">
        <v>348</v>
      </c>
    </row>
    <row r="1380" spans="1:7" ht="14.25">
      <c r="A1380" s="3" t="str">
        <f>T("54012011")</f>
        <v>54012011</v>
      </c>
      <c r="B1380" s="14" t="s">
        <v>6226</v>
      </c>
      <c r="C1380" s="3" t="s">
        <v>1384</v>
      </c>
      <c r="D1380" s="3" t="str">
        <f>T("郭貴興. 編")</f>
        <v>郭貴興. 編</v>
      </c>
      <c r="E1380" s="3" t="str">
        <f>T("河南美術")</f>
        <v>河南美術</v>
      </c>
      <c r="F1380" s="3">
        <v>46</v>
      </c>
      <c r="G1380" s="3">
        <v>276</v>
      </c>
    </row>
    <row r="1381" spans="1:7" ht="14.25">
      <c r="A1381" s="3" t="str">
        <f>T("54012043")</f>
        <v>54012043</v>
      </c>
      <c r="B1381" s="14" t="s">
        <v>6229</v>
      </c>
      <c r="C1381" s="3" t="s">
        <v>1385</v>
      </c>
      <c r="D1381" s="3" t="str">
        <f>T("明瓚. 著")</f>
        <v>明瓚. 著</v>
      </c>
      <c r="E1381" s="3" t="str">
        <f>T("河南美術")</f>
        <v>河南美術</v>
      </c>
      <c r="F1381" s="3">
        <v>58</v>
      </c>
      <c r="G1381" s="3">
        <v>348</v>
      </c>
    </row>
    <row r="1382" spans="1:7" ht="14.25">
      <c r="A1382" s="3" t="str">
        <f>T("54020481")</f>
        <v>54020481</v>
      </c>
      <c r="B1382" s="14" t="s">
        <v>6232</v>
      </c>
      <c r="C1382" s="3" t="s">
        <v>1122</v>
      </c>
      <c r="D1382" s="3" t="str">
        <f>T("孟軻")</f>
        <v>孟軻</v>
      </c>
      <c r="E1382" s="3" t="str">
        <f>T("北京燕山")</f>
        <v>北京燕山</v>
      </c>
      <c r="F1382" s="3">
        <v>26.8</v>
      </c>
      <c r="G1382" s="3">
        <v>161</v>
      </c>
    </row>
    <row r="1383" spans="1:7" ht="14.25">
      <c r="A1383" s="3" t="str">
        <f>T("54021775")</f>
        <v>54021775</v>
      </c>
      <c r="B1383" s="14" t="s">
        <v>6235</v>
      </c>
      <c r="C1383" s="3" t="s">
        <v>1386</v>
      </c>
      <c r="D1383" s="3" t="str">
        <f>T("飛煙著")</f>
        <v>飛煙著</v>
      </c>
      <c r="E1383" s="3" t="str">
        <f>T("北京燕山")</f>
        <v>北京燕山</v>
      </c>
      <c r="F1383" s="3">
        <v>28</v>
      </c>
      <c r="G1383" s="3">
        <v>168</v>
      </c>
    </row>
    <row r="1384" spans="1:7" ht="14.25">
      <c r="A1384" s="3" t="str">
        <f>T("54021914A")</f>
        <v>54021914A</v>
      </c>
      <c r="B1384" s="14" t="s">
        <v>6238</v>
      </c>
      <c r="C1384" s="3" t="s">
        <v>1387</v>
      </c>
      <c r="D1384" s="3" t="str">
        <f>T("石振懷")</f>
        <v>石振懷</v>
      </c>
      <c r="E1384" s="3" t="str">
        <f>T("北京燕山")</f>
        <v>北京燕山</v>
      </c>
      <c r="F1384" s="3">
        <v>25</v>
      </c>
      <c r="G1384" s="3">
        <v>150</v>
      </c>
    </row>
    <row r="1385" spans="1:7" ht="14.25">
      <c r="A1385" s="3" t="str">
        <f>T("54021914C")</f>
        <v>54021914C</v>
      </c>
      <c r="B1385" s="14" t="s">
        <v>6238</v>
      </c>
      <c r="C1385" s="3" t="s">
        <v>1388</v>
      </c>
      <c r="D1385" s="3" t="str">
        <f>T("石振懷")</f>
        <v>石振懷</v>
      </c>
      <c r="E1385" s="3" t="str">
        <f>T("北京燕山")</f>
        <v>北京燕山</v>
      </c>
      <c r="F1385" s="3">
        <v>25</v>
      </c>
      <c r="G1385" s="3">
        <v>150</v>
      </c>
    </row>
    <row r="1386" spans="1:7" ht="14.25">
      <c r="A1386" s="3" t="str">
        <f>T("54022048B")</f>
        <v>54022048B</v>
      </c>
      <c r="B1386" s="14" t="s">
        <v>6242</v>
      </c>
      <c r="C1386" s="3" t="s">
        <v>1389</v>
      </c>
      <c r="D1386" s="3" t="str">
        <f>T("張豔玲")</f>
        <v>張豔玲</v>
      </c>
      <c r="E1386" s="3" t="str">
        <f>T("北京燕山")</f>
        <v>北京燕山</v>
      </c>
      <c r="F1386" s="3">
        <v>29.8</v>
      </c>
      <c r="G1386" s="3">
        <v>179</v>
      </c>
    </row>
    <row r="1387" spans="1:7" ht="14.25">
      <c r="A1387" s="3" t="str">
        <f>T("54022048F")</f>
        <v>54022048F</v>
      </c>
      <c r="B1387" s="14" t="s">
        <v>6242</v>
      </c>
      <c r="C1387" s="3" t="s">
        <v>1390</v>
      </c>
      <c r="D1387" s="3" t="str">
        <f>T("張豔玲")</f>
        <v>張豔玲</v>
      </c>
      <c r="E1387" s="3" t="str">
        <f>T("北京燕山")</f>
        <v>北京燕山</v>
      </c>
      <c r="F1387" s="3">
        <v>29.8</v>
      </c>
      <c r="G1387" s="3">
        <v>179</v>
      </c>
    </row>
    <row r="1388" spans="1:7" ht="14.25">
      <c r="A1388" s="3" t="str">
        <f>T("54030167")</f>
        <v>54030167</v>
      </c>
      <c r="B1388" s="14" t="s">
        <v>6246</v>
      </c>
      <c r="C1388" s="3" t="s">
        <v>1391</v>
      </c>
      <c r="D1388" s="3" t="str">
        <f>T("夏  樗主編")</f>
        <v>夏  樗主編</v>
      </c>
      <c r="E1388" s="3" t="str">
        <f>T("崇文書局")</f>
        <v>崇文書局</v>
      </c>
      <c r="F1388" s="3">
        <v>34</v>
      </c>
      <c r="G1388" s="3">
        <v>204</v>
      </c>
    </row>
    <row r="1389" spans="1:7" ht="14.25">
      <c r="A1389" s="3" t="str">
        <f>T("54031493")</f>
        <v>54031493</v>
      </c>
      <c r="B1389" s="14" t="s">
        <v>6250</v>
      </c>
      <c r="C1389" s="3" t="s">
        <v>1392</v>
      </c>
      <c r="D1389" s="3" t="str">
        <f>T("林?著")</f>
        <v>林?著</v>
      </c>
      <c r="E1389" s="3" t="str">
        <f>T("崇文書局")</f>
        <v>崇文書局</v>
      </c>
      <c r="F1389" s="3">
        <v>32.8</v>
      </c>
      <c r="G1389" s="3">
        <v>197</v>
      </c>
    </row>
    <row r="1390" spans="1:7" ht="14.25">
      <c r="A1390" s="3" t="str">
        <f>T("54031585")</f>
        <v>54031585</v>
      </c>
      <c r="B1390" s="14" t="s">
        <v>6253</v>
      </c>
      <c r="C1390" s="3" t="s">
        <v>1393</v>
      </c>
      <c r="D1390" s="3" t="str">
        <f>T("王曉華")</f>
        <v>王曉華</v>
      </c>
      <c r="E1390" s="3" t="str">
        <f>T("崇文書局")</f>
        <v>崇文書局</v>
      </c>
      <c r="F1390" s="3">
        <v>19.8</v>
      </c>
      <c r="G1390" s="3">
        <v>119</v>
      </c>
    </row>
    <row r="1391" spans="1:7" ht="14.25">
      <c r="A1391" s="3" t="str">
        <f>T("54031586")</f>
        <v>54031586</v>
      </c>
      <c r="B1391" s="14" t="s">
        <v>6256</v>
      </c>
      <c r="C1391" s="3" t="s">
        <v>1394</v>
      </c>
      <c r="D1391" s="3" t="str">
        <f>T("王曉華")</f>
        <v>王曉華</v>
      </c>
      <c r="E1391" s="3" t="str">
        <f>T("崇文書局")</f>
        <v>崇文書局</v>
      </c>
      <c r="F1391" s="3">
        <v>19.8</v>
      </c>
      <c r="G1391" s="3">
        <v>119</v>
      </c>
    </row>
    <row r="1392" spans="1:7" ht="14.25">
      <c r="A1392" s="3" t="str">
        <f>T("54031587")</f>
        <v>54031587</v>
      </c>
      <c r="B1392" s="14" t="s">
        <v>6258</v>
      </c>
      <c r="C1392" s="3" t="s">
        <v>1395</v>
      </c>
      <c r="D1392" s="3" t="str">
        <f>T("王曉華")</f>
        <v>王曉華</v>
      </c>
      <c r="E1392" s="3" t="str">
        <f>T("崇文書局")</f>
        <v>崇文書局</v>
      </c>
      <c r="F1392" s="3">
        <v>19.8</v>
      </c>
      <c r="G1392" s="3">
        <v>119</v>
      </c>
    </row>
    <row r="1393" spans="1:7" ht="14.25">
      <c r="A1393" s="3" t="str">
        <f>T("54044128")</f>
        <v>54044128</v>
      </c>
      <c r="B1393" s="14" t="s">
        <v>6260</v>
      </c>
      <c r="C1393" s="3" t="s">
        <v>1396</v>
      </c>
      <c r="D1393" s="3" t="str">
        <f>T("王文元")</f>
        <v>王文元</v>
      </c>
      <c r="E1393" s="3" t="str">
        <f>T("湖南文藝")</f>
        <v>湖南文藝</v>
      </c>
      <c r="F1393" s="3">
        <v>30</v>
      </c>
      <c r="G1393" s="3">
        <v>180</v>
      </c>
    </row>
    <row r="1394" spans="1:7" ht="14.25">
      <c r="A1394" s="3" t="str">
        <f>T("54044192")</f>
        <v>54044192</v>
      </c>
      <c r="B1394" s="14" t="s">
        <v>6264</v>
      </c>
      <c r="C1394" s="3" t="s">
        <v>1397</v>
      </c>
      <c r="D1394" s="3" t="str">
        <f>T("董永")</f>
        <v>董永</v>
      </c>
      <c r="E1394" s="3" t="str">
        <f>T("湖南文藝")</f>
        <v>湖南文藝</v>
      </c>
      <c r="F1394" s="3">
        <v>26.8</v>
      </c>
      <c r="G1394" s="3">
        <v>161</v>
      </c>
    </row>
    <row r="1395" spans="1:7" ht="14.25">
      <c r="A1395" s="3" t="str">
        <f>T("54067720")</f>
        <v>54067720</v>
      </c>
      <c r="B1395" s="14" t="s">
        <v>6267</v>
      </c>
      <c r="C1395" s="3" t="s">
        <v>1398</v>
      </c>
      <c r="D1395" s="3" t="str">
        <f>T("淩遠清. 著")</f>
        <v>淩遠清. 著</v>
      </c>
      <c r="E1395" s="3" t="str">
        <f>T("廣東教育")</f>
        <v>廣東教育</v>
      </c>
      <c r="F1395" s="3">
        <v>25.5</v>
      </c>
      <c r="G1395" s="3">
        <v>153</v>
      </c>
    </row>
    <row r="1396" spans="1:7" ht="14.25">
      <c r="A1396" s="3" t="str">
        <f>T("54067721")</f>
        <v>54067721</v>
      </c>
      <c r="B1396" s="14" t="s">
        <v>6271</v>
      </c>
      <c r="C1396" s="3" t="s">
        <v>1399</v>
      </c>
      <c r="D1396" s="3" t="str">
        <f>T("儲冬愛. 著")</f>
        <v>儲冬愛. 著</v>
      </c>
      <c r="E1396" s="3" t="str">
        <f>T("廣東教育")</f>
        <v>廣東教育</v>
      </c>
      <c r="F1396" s="3">
        <v>29</v>
      </c>
      <c r="G1396" s="3">
        <v>174</v>
      </c>
    </row>
    <row r="1397" spans="1:7" ht="14.25">
      <c r="A1397" s="3" t="str">
        <f>T("54093844")</f>
        <v>54093844</v>
      </c>
      <c r="B1397" s="14" t="s">
        <v>6274</v>
      </c>
      <c r="C1397" s="3" t="s">
        <v>1400</v>
      </c>
      <c r="D1397" s="3">
        <f>T("")</f>
      </c>
      <c r="E1397" s="3" t="str">
        <f>T("四川民族")</f>
        <v>四川民族</v>
      </c>
      <c r="F1397" s="3">
        <v>46.5</v>
      </c>
      <c r="G1397" s="3">
        <v>279</v>
      </c>
    </row>
    <row r="1398" spans="1:7" ht="14.25">
      <c r="A1398" s="3" t="str">
        <f>T("54102679")</f>
        <v>54102679</v>
      </c>
      <c r="B1398" s="14" t="s">
        <v>6277</v>
      </c>
      <c r="C1398" s="3" t="s">
        <v>1401</v>
      </c>
      <c r="D1398" s="3">
        <f>T("")</f>
      </c>
      <c r="E1398" s="3" t="str">
        <f>T("四川美術")</f>
        <v>四川美術</v>
      </c>
      <c r="F1398" s="3">
        <v>55</v>
      </c>
      <c r="G1398" s="3">
        <v>330</v>
      </c>
    </row>
    <row r="1399" spans="1:7" ht="14.25">
      <c r="A1399" s="3" t="str">
        <f>T("54102804")</f>
        <v>54102804</v>
      </c>
      <c r="B1399" s="14" t="s">
        <v>6280</v>
      </c>
      <c r="C1399" s="3" t="s">
        <v>1402</v>
      </c>
      <c r="D1399" s="3" t="str">
        <f>T("陳綏祥")</f>
        <v>陳綏祥</v>
      </c>
      <c r="E1399" s="3" t="str">
        <f>T("四川美術")</f>
        <v>四川美術</v>
      </c>
      <c r="F1399" s="3">
        <v>29</v>
      </c>
      <c r="G1399" s="3">
        <v>174</v>
      </c>
    </row>
    <row r="1400" spans="1:7" ht="14.25">
      <c r="A1400" s="3" t="str">
        <f>T("54102837")</f>
        <v>54102837</v>
      </c>
      <c r="B1400" s="14" t="s">
        <v>6283</v>
      </c>
      <c r="C1400" s="3" t="s">
        <v>1403</v>
      </c>
      <c r="D1400" s="3" t="str">
        <f>T("董立軍")</f>
        <v>董立軍</v>
      </c>
      <c r="E1400" s="3" t="str">
        <f>T("四川美術")</f>
        <v>四川美術</v>
      </c>
      <c r="F1400" s="3">
        <v>48</v>
      </c>
      <c r="G1400" s="3">
        <v>288</v>
      </c>
    </row>
    <row r="1401" spans="1:7" ht="14.25">
      <c r="A1401" s="3" t="str">
        <f>T("54103048")</f>
        <v>54103048</v>
      </c>
      <c r="B1401" s="14" t="s">
        <v>6286</v>
      </c>
      <c r="C1401" s="3" t="s">
        <v>1404</v>
      </c>
      <c r="D1401" s="3" t="str">
        <f>T("陳錦")</f>
        <v>陳錦</v>
      </c>
      <c r="E1401" s="3" t="str">
        <f>T("四川美術")</f>
        <v>四川美術</v>
      </c>
      <c r="F1401" s="3">
        <v>680</v>
      </c>
      <c r="G1401" s="3">
        <v>4080</v>
      </c>
    </row>
    <row r="1402" spans="1:7" ht="14.25">
      <c r="A1402" s="3" t="str">
        <f>T("54103081")</f>
        <v>54103081</v>
      </c>
      <c r="B1402" s="14" t="s">
        <v>6289</v>
      </c>
      <c r="C1402" s="3" t="s">
        <v>1405</v>
      </c>
      <c r="D1402" s="3" t="str">
        <f>T("雷子")</f>
        <v>雷子</v>
      </c>
      <c r="E1402" s="3" t="str">
        <f>T("四川美術")</f>
        <v>四川美術</v>
      </c>
      <c r="F1402" s="3">
        <v>35</v>
      </c>
      <c r="G1402" s="3">
        <v>210</v>
      </c>
    </row>
    <row r="1403" spans="1:7" ht="14.25">
      <c r="A1403" s="3" t="str">
        <f>T("54103104")</f>
        <v>54103104</v>
      </c>
      <c r="B1403" s="14" t="s">
        <v>6292</v>
      </c>
      <c r="C1403" s="3" t="s">
        <v>1406</v>
      </c>
      <c r="D1403" s="3" t="str">
        <f>T("劉二剛")</f>
        <v>劉二剛</v>
      </c>
      <c r="E1403" s="3" t="str">
        <f>T("四川美術")</f>
        <v>四川美術</v>
      </c>
      <c r="F1403" s="3">
        <v>35</v>
      </c>
      <c r="G1403" s="3">
        <v>210</v>
      </c>
    </row>
    <row r="1404" spans="1:7" ht="14.25">
      <c r="A1404" s="3" t="str">
        <f>T("54103105")</f>
        <v>54103105</v>
      </c>
      <c r="B1404" s="14" t="s">
        <v>6295</v>
      </c>
      <c r="C1404" s="3" t="s">
        <v>1407</v>
      </c>
      <c r="D1404" s="3" t="str">
        <f>T("朱新建")</f>
        <v>朱新建</v>
      </c>
      <c r="E1404" s="3" t="str">
        <f>T("四川美術")</f>
        <v>四川美術</v>
      </c>
      <c r="F1404" s="3">
        <v>37</v>
      </c>
      <c r="G1404" s="3">
        <v>222</v>
      </c>
    </row>
    <row r="1405" spans="1:7" ht="14.25">
      <c r="A1405" s="3" t="str">
        <f>T("54112245")</f>
        <v>54112245</v>
      </c>
      <c r="B1405" s="14" t="s">
        <v>6298</v>
      </c>
      <c r="C1405" s="3" t="s">
        <v>1408</v>
      </c>
      <c r="D1405" s="3" t="str">
        <f>T("吳冉")</f>
        <v>吳冉</v>
      </c>
      <c r="E1405" s="3" t="str">
        <f>T("四川文藝")</f>
        <v>四川文藝</v>
      </c>
      <c r="F1405" s="3">
        <v>28</v>
      </c>
      <c r="G1405" s="3">
        <v>168</v>
      </c>
    </row>
    <row r="1406" spans="1:7" ht="14.25">
      <c r="A1406" s="3" t="str">
        <f>T("54112656")</f>
        <v>54112656</v>
      </c>
      <c r="B1406" s="14" t="s">
        <v>6302</v>
      </c>
      <c r="C1406" s="3" t="s">
        <v>1409</v>
      </c>
      <c r="D1406" s="3" t="str">
        <f>T("凹凸")</f>
        <v>凹凸</v>
      </c>
      <c r="E1406" s="3" t="str">
        <f>T("四川文藝")</f>
        <v>四川文藝</v>
      </c>
      <c r="F1406" s="3">
        <v>28</v>
      </c>
      <c r="G1406" s="3">
        <v>168</v>
      </c>
    </row>
    <row r="1407" spans="1:7" ht="14.25">
      <c r="A1407" s="3" t="str">
        <f>T("54112661")</f>
        <v>54112661</v>
      </c>
      <c r="B1407" s="14" t="s">
        <v>6305</v>
      </c>
      <c r="C1407" s="3" t="s">
        <v>1410</v>
      </c>
      <c r="D1407" s="3" t="str">
        <f>T("章夫")</f>
        <v>章夫</v>
      </c>
      <c r="E1407" s="3" t="str">
        <f>T("四川文藝")</f>
        <v>四川文藝</v>
      </c>
      <c r="F1407" s="3">
        <v>30</v>
      </c>
      <c r="G1407" s="3">
        <v>180</v>
      </c>
    </row>
    <row r="1408" spans="1:7" ht="14.25">
      <c r="A1408" s="3" t="str">
        <f>T("54112664")</f>
        <v>54112664</v>
      </c>
      <c r="B1408" s="14" t="s">
        <v>6308</v>
      </c>
      <c r="C1408" s="3" t="s">
        <v>1411</v>
      </c>
      <c r="D1408" s="3" t="str">
        <f>T("章夫")</f>
        <v>章夫</v>
      </c>
      <c r="E1408" s="3" t="str">
        <f>T("四川文藝")</f>
        <v>四川文藝</v>
      </c>
      <c r="F1408" s="3">
        <v>32</v>
      </c>
      <c r="G1408" s="3">
        <v>192</v>
      </c>
    </row>
    <row r="1409" spans="1:7" ht="14.25">
      <c r="A1409" s="3" t="str">
        <f>T("54112764")</f>
        <v>54112764</v>
      </c>
      <c r="B1409" s="14" t="s">
        <v>6310</v>
      </c>
      <c r="C1409" s="3" t="s">
        <v>1412</v>
      </c>
      <c r="D1409" s="3" t="str">
        <f>T("鄧惠")</f>
        <v>鄧惠</v>
      </c>
      <c r="E1409" s="3" t="str">
        <f>T("四川文藝")</f>
        <v>四川文藝</v>
      </c>
      <c r="F1409" s="3">
        <v>25</v>
      </c>
      <c r="G1409" s="3">
        <v>150</v>
      </c>
    </row>
    <row r="1410" spans="1:7" ht="14.25">
      <c r="A1410" s="3" t="str">
        <f>T("54121572")</f>
        <v>54121572</v>
      </c>
      <c r="B1410" s="14" t="s">
        <v>6313</v>
      </c>
      <c r="C1410" s="3" t="s">
        <v>1413</v>
      </c>
      <c r="D1410" s="3" t="str">
        <f>T("吳勇")</f>
        <v>吳勇</v>
      </c>
      <c r="E1410" s="3" t="str">
        <f>T("貴州民族")</f>
        <v>貴州民族</v>
      </c>
      <c r="F1410" s="3">
        <v>58</v>
      </c>
      <c r="G1410" s="3">
        <v>348</v>
      </c>
    </row>
    <row r="1411" spans="1:7" ht="14.25">
      <c r="A1411" s="3" t="str">
        <f>T("54153489")</f>
        <v>54153489</v>
      </c>
      <c r="B1411" s="14" t="s">
        <v>6317</v>
      </c>
      <c r="C1411" s="3" t="s">
        <v>1414</v>
      </c>
      <c r="D1411" s="3" t="str">
        <f>T("徐宇宏")</f>
        <v>徐宇宏</v>
      </c>
      <c r="E1411" s="3" t="str">
        <f>T("雲南教育")</f>
        <v>雲南教育</v>
      </c>
      <c r="F1411" s="3">
        <v>16.8</v>
      </c>
      <c r="G1411" s="3">
        <v>101</v>
      </c>
    </row>
    <row r="1412" spans="1:7" ht="14.25">
      <c r="A1412" s="3" t="str">
        <f>T("54153806")</f>
        <v>54153806</v>
      </c>
      <c r="B1412" s="14" t="s">
        <v>6321</v>
      </c>
      <c r="C1412" s="3" t="s">
        <v>1415</v>
      </c>
      <c r="D1412" s="3" t="str">
        <f>T("張翼新")</f>
        <v>張翼新</v>
      </c>
      <c r="E1412" s="3" t="str">
        <f>T("雲南教育")</f>
        <v>雲南教育</v>
      </c>
      <c r="F1412" s="3">
        <v>28</v>
      </c>
      <c r="G1412" s="3">
        <v>168</v>
      </c>
    </row>
    <row r="1413" spans="1:7" ht="14.25">
      <c r="A1413" s="3" t="str">
        <f>T("54173751")</f>
        <v>54173751</v>
      </c>
      <c r="B1413" s="14" t="s">
        <v>6324</v>
      </c>
      <c r="C1413" s="3" t="s">
        <v>1416</v>
      </c>
      <c r="D1413" s="3" t="str">
        <f>T("秉禮")</f>
        <v>秉禮</v>
      </c>
      <c r="E1413" s="3" t="str">
        <f>T("未來")</f>
        <v>未來</v>
      </c>
      <c r="F1413" s="3">
        <v>26.8</v>
      </c>
      <c r="G1413" s="3">
        <v>161</v>
      </c>
    </row>
    <row r="1414" spans="1:7" ht="14.25">
      <c r="A1414" s="3" t="str">
        <f>T("54181216")</f>
        <v>54181216</v>
      </c>
      <c r="B1414" s="14" t="s">
        <v>6328</v>
      </c>
      <c r="C1414" s="3" t="s">
        <v>1417</v>
      </c>
      <c r="D1414" s="3" t="str">
        <f>T("南海")</f>
        <v>南海</v>
      </c>
      <c r="E1414" s="3" t="str">
        <f>T("陝西旅遊")</f>
        <v>陝西旅遊</v>
      </c>
      <c r="F1414" s="3">
        <v>24.8</v>
      </c>
      <c r="G1414" s="3">
        <v>149</v>
      </c>
    </row>
    <row r="1415" spans="1:7" ht="14.25">
      <c r="A1415" s="3" t="str">
        <f>T("54181216B")</f>
        <v>54181216B</v>
      </c>
      <c r="B1415" s="14" t="s">
        <v>6328</v>
      </c>
      <c r="C1415" s="3" t="s">
        <v>1418</v>
      </c>
      <c r="D1415" s="3" t="str">
        <f>T("南海")</f>
        <v>南海</v>
      </c>
      <c r="E1415" s="3" t="str">
        <f>T("陝西旅遊")</f>
        <v>陝西旅遊</v>
      </c>
      <c r="F1415" s="3">
        <v>24.8</v>
      </c>
      <c r="G1415" s="3">
        <v>149</v>
      </c>
    </row>
    <row r="1416" spans="1:7" ht="14.25">
      <c r="A1416" s="3" t="str">
        <f>T("54230864")</f>
        <v>54230864</v>
      </c>
      <c r="B1416" s="14" t="s">
        <v>6333</v>
      </c>
      <c r="C1416" s="3" t="s">
        <v>1419</v>
      </c>
      <c r="D1416" s="3" t="str">
        <f>T("薛長年")</f>
        <v>薛長年</v>
      </c>
      <c r="E1416" s="3" t="str">
        <f>T("甘肅教育")</f>
        <v>甘肅教育</v>
      </c>
      <c r="F1416" s="3">
        <v>26</v>
      </c>
      <c r="G1416" s="3">
        <v>156</v>
      </c>
    </row>
    <row r="1417" spans="1:7" ht="14.25">
      <c r="A1417" s="3" t="str">
        <f>T("54231508")</f>
        <v>54231508</v>
      </c>
      <c r="B1417" s="14" t="s">
        <v>6337</v>
      </c>
      <c r="C1417" s="3" t="s">
        <v>1420</v>
      </c>
      <c r="D1417" s="3" t="str">
        <f>T("榮新江著")</f>
        <v>榮新江著</v>
      </c>
      <c r="E1417" s="3" t="str">
        <f>T("甘肅教育")</f>
        <v>甘肅教育</v>
      </c>
      <c r="F1417" s="3">
        <v>38</v>
      </c>
      <c r="G1417" s="3">
        <v>228</v>
      </c>
    </row>
    <row r="1418" spans="1:7" ht="14.25">
      <c r="A1418" s="3" t="str">
        <f>T("54231526")</f>
        <v>54231526</v>
      </c>
      <c r="B1418" s="14" t="s">
        <v>6340</v>
      </c>
      <c r="C1418" s="3" t="s">
        <v>1421</v>
      </c>
      <c r="D1418" s="3" t="str">
        <f>T("朱玉鳳")</f>
        <v>朱玉鳳</v>
      </c>
      <c r="E1418" s="3" t="str">
        <f>T("甘肅教育")</f>
        <v>甘肅教育</v>
      </c>
      <c r="F1418" s="3">
        <v>38</v>
      </c>
      <c r="G1418" s="3">
        <v>228</v>
      </c>
    </row>
    <row r="1419" spans="1:7" ht="14.25">
      <c r="A1419" s="3" t="str">
        <f>T("54231533")</f>
        <v>54231533</v>
      </c>
      <c r="B1419" s="14" t="s">
        <v>6343</v>
      </c>
      <c r="C1419" s="3" t="s">
        <v>1422</v>
      </c>
      <c r="D1419" s="3" t="str">
        <f>T("劉進寶著")</f>
        <v>劉進寶著</v>
      </c>
      <c r="E1419" s="3" t="str">
        <f>T("甘肅教育")</f>
        <v>甘肅教育</v>
      </c>
      <c r="F1419" s="3">
        <v>38</v>
      </c>
      <c r="G1419" s="3">
        <v>228</v>
      </c>
    </row>
    <row r="1420" spans="1:7" ht="14.25">
      <c r="A1420" s="3" t="str">
        <f>T("54231545")</f>
        <v>54231545</v>
      </c>
      <c r="B1420" s="14" t="s">
        <v>6346</v>
      </c>
      <c r="C1420" s="3" t="s">
        <v>1423</v>
      </c>
      <c r="D1420" s="3" t="str">
        <f>T("李重申")</f>
        <v>李重申</v>
      </c>
      <c r="E1420" s="3" t="str">
        <f>T("甘肅教育")</f>
        <v>甘肅教育</v>
      </c>
      <c r="F1420" s="3">
        <v>38</v>
      </c>
      <c r="G1420" s="3">
        <v>228</v>
      </c>
    </row>
    <row r="1421" spans="1:7" ht="14.25">
      <c r="A1421" s="3" t="str">
        <f>T("54251006")</f>
        <v>54251006</v>
      </c>
      <c r="B1421" s="14" t="s">
        <v>6349</v>
      </c>
      <c r="C1421" s="3" t="s">
        <v>1424</v>
      </c>
      <c r="D1421" s="3" t="str">
        <f>T("未建檔")</f>
        <v>未建檔</v>
      </c>
      <c r="E1421" s="3" t="str">
        <f>T("伊犁人民")</f>
        <v>伊犁人民</v>
      </c>
      <c r="F1421" s="3">
        <v>38</v>
      </c>
      <c r="G1421" s="3">
        <v>228</v>
      </c>
    </row>
    <row r="1422" spans="1:7" ht="14.25">
      <c r="A1422" s="3" t="str">
        <f>T("54251035")</f>
        <v>54251035</v>
      </c>
      <c r="B1422" s="14" t="s">
        <v>6352</v>
      </c>
      <c r="C1422" s="3" t="s">
        <v>1425</v>
      </c>
      <c r="D1422" s="3" t="str">
        <f>T("未建檔")</f>
        <v>未建檔</v>
      </c>
      <c r="E1422" s="3" t="str">
        <f>T("伊犁人民")</f>
        <v>伊犁人民</v>
      </c>
      <c r="F1422" s="3">
        <v>18</v>
      </c>
      <c r="G1422" s="3">
        <v>108</v>
      </c>
    </row>
    <row r="1423" spans="1:7" ht="14.25">
      <c r="A1423" s="3" t="str">
        <f>T("54262461")</f>
        <v>54262461</v>
      </c>
      <c r="B1423" s="14" t="s">
        <v>6354</v>
      </c>
      <c r="C1423" s="3" t="s">
        <v>1426</v>
      </c>
      <c r="D1423" s="3" t="str">
        <f>T("梁啟超，章太炎，朱自清著")</f>
        <v>梁啟超，章太炎，朱自清著</v>
      </c>
      <c r="E1423" s="3" t="str">
        <f>T("上海三聯")</f>
        <v>上海三聯</v>
      </c>
      <c r="F1423" s="3">
        <v>25</v>
      </c>
      <c r="G1423" s="3">
        <v>150</v>
      </c>
    </row>
    <row r="1424" spans="1:7" ht="14.25">
      <c r="A1424" s="3" t="str">
        <f>T("54262477")</f>
        <v>54262477</v>
      </c>
      <c r="B1424" s="14" t="s">
        <v>6358</v>
      </c>
      <c r="C1424" s="3" t="s">
        <v>1427</v>
      </c>
      <c r="D1424" s="3" t="str">
        <f>T("馮立鼇")</f>
        <v>馮立鼇</v>
      </c>
      <c r="E1424" s="3" t="str">
        <f>T("上海三聯")</f>
        <v>上海三聯</v>
      </c>
      <c r="F1424" s="3">
        <v>39</v>
      </c>
      <c r="G1424" s="3">
        <v>234</v>
      </c>
    </row>
    <row r="1425" spans="1:7" ht="14.25">
      <c r="A1425" s="3" t="str">
        <f>T("54262508")</f>
        <v>54262508</v>
      </c>
      <c r="B1425" s="14" t="s">
        <v>6361</v>
      </c>
      <c r="C1425" s="3" t="s">
        <v>1428</v>
      </c>
      <c r="D1425" s="3" t="str">
        <f>T(".")</f>
        <v>.</v>
      </c>
      <c r="E1425" s="3" t="str">
        <f>T("上海三聯")</f>
        <v>上海三聯</v>
      </c>
      <c r="F1425" s="3">
        <v>39</v>
      </c>
      <c r="G1425" s="3">
        <v>228</v>
      </c>
    </row>
    <row r="1426" spans="1:7" ht="14.25">
      <c r="A1426" s="3" t="str">
        <f>T("54262990")</f>
        <v>54262990</v>
      </c>
      <c r="B1426" s="14" t="s">
        <v>6363</v>
      </c>
      <c r="C1426" s="3" t="s">
        <v>1429</v>
      </c>
      <c r="D1426" s="3" t="str">
        <f>T("楊寶春著")</f>
        <v>楊寶春著</v>
      </c>
      <c r="E1426" s="3" t="str">
        <f>T("上海三聯")</f>
        <v>上海三聯</v>
      </c>
      <c r="F1426" s="3">
        <v>23</v>
      </c>
      <c r="G1426" s="3">
        <v>138</v>
      </c>
    </row>
    <row r="1427" spans="1:7" ht="14.25">
      <c r="A1427" s="3" t="str">
        <f>T("54263280")</f>
        <v>54263280</v>
      </c>
      <c r="B1427" s="14" t="s">
        <v>6366</v>
      </c>
      <c r="C1427" s="3" t="s">
        <v>1430</v>
      </c>
      <c r="D1427" s="3" t="str">
        <f>T("靳新來. 著")</f>
        <v>靳新來. 著</v>
      </c>
      <c r="E1427" s="3" t="str">
        <f>T("上海三聯")</f>
        <v>上海三聯</v>
      </c>
      <c r="F1427" s="3">
        <v>20</v>
      </c>
      <c r="G1427" s="3">
        <v>120</v>
      </c>
    </row>
    <row r="1428" spans="1:7" ht="14.25">
      <c r="A1428" s="3" t="str">
        <f>T("54263281")</f>
        <v>54263281</v>
      </c>
      <c r="B1428" s="14" t="s">
        <v>6369</v>
      </c>
      <c r="C1428" s="3" t="s">
        <v>1431</v>
      </c>
      <c r="D1428" s="3" t="str">
        <f>T("蔡國聲")</f>
        <v>蔡國聲</v>
      </c>
      <c r="E1428" s="3" t="str">
        <f>T("上海三聯")</f>
        <v>上海三聯</v>
      </c>
      <c r="F1428" s="3">
        <v>68</v>
      </c>
      <c r="G1428" s="3">
        <v>408</v>
      </c>
    </row>
    <row r="1429" spans="1:7" ht="14.25">
      <c r="A1429" s="3" t="str">
        <f>T("54263567")</f>
        <v>54263567</v>
      </c>
      <c r="B1429" s="14" t="s">
        <v>6376</v>
      </c>
      <c r="C1429" s="3" t="s">
        <v>1432</v>
      </c>
      <c r="D1429" s="3" t="str">
        <f>T("魯衛著")</f>
        <v>魯衛著</v>
      </c>
      <c r="E1429" s="3" t="str">
        <f>T("上海三聯")</f>
        <v>上海三聯</v>
      </c>
      <c r="F1429" s="3">
        <v>28</v>
      </c>
      <c r="G1429" s="3">
        <v>168</v>
      </c>
    </row>
    <row r="1430" spans="1:7" ht="14.25">
      <c r="A1430" s="3" t="str">
        <f>T("54302676")</f>
        <v>54302676</v>
      </c>
      <c r="B1430" s="14" t="s">
        <v>6379</v>
      </c>
      <c r="C1430" s="3" t="s">
        <v>1433</v>
      </c>
      <c r="D1430" s="3" t="str">
        <f>T("劉川鄂")</f>
        <v>劉川鄂</v>
      </c>
      <c r="E1430" s="3" t="str">
        <f>T("武漢")</f>
        <v>武漢</v>
      </c>
      <c r="F1430" s="3">
        <v>30</v>
      </c>
      <c r="G1430" s="3">
        <v>180</v>
      </c>
    </row>
    <row r="1431" spans="1:7" ht="14.25">
      <c r="A1431" s="3" t="str">
        <f>T("54302677")</f>
        <v>54302677</v>
      </c>
      <c r="B1431" s="14" t="s">
        <v>6383</v>
      </c>
      <c r="C1431" s="3" t="s">
        <v>1434</v>
      </c>
      <c r="D1431" s="3" t="str">
        <f>T("劉川鄂")</f>
        <v>劉川鄂</v>
      </c>
      <c r="E1431" s="3" t="str">
        <f>T("武漢")</f>
        <v>武漢</v>
      </c>
      <c r="F1431" s="3">
        <v>29</v>
      </c>
      <c r="G1431" s="3">
        <v>174</v>
      </c>
    </row>
    <row r="1432" spans="1:7" ht="14.25">
      <c r="A1432" s="3" t="str">
        <f>T("54302678")</f>
        <v>54302678</v>
      </c>
      <c r="B1432" s="14" t="s">
        <v>6385</v>
      </c>
      <c r="C1432" s="3" t="s">
        <v>1435</v>
      </c>
      <c r="D1432" s="3" t="str">
        <f>T("劉川鄂")</f>
        <v>劉川鄂</v>
      </c>
      <c r="E1432" s="3" t="str">
        <f>T("武漢")</f>
        <v>武漢</v>
      </c>
      <c r="F1432" s="3">
        <v>31</v>
      </c>
      <c r="G1432" s="3">
        <v>186</v>
      </c>
    </row>
    <row r="1433" spans="1:7" ht="14.25">
      <c r="A1433" s="3" t="str">
        <f>T("54302679")</f>
        <v>54302679</v>
      </c>
      <c r="B1433" s="14" t="s">
        <v>6387</v>
      </c>
      <c r="C1433" s="3" t="s">
        <v>1436</v>
      </c>
      <c r="D1433" s="3" t="str">
        <f>T("劉川鄂")</f>
        <v>劉川鄂</v>
      </c>
      <c r="E1433" s="3" t="str">
        <f>T("武漢")</f>
        <v>武漢</v>
      </c>
      <c r="F1433" s="3">
        <v>30</v>
      </c>
      <c r="G1433" s="3">
        <v>180</v>
      </c>
    </row>
    <row r="1434" spans="1:7" ht="14.25">
      <c r="A1434" s="3" t="str">
        <f>T("54303566A")</f>
        <v>54303566A</v>
      </c>
      <c r="B1434" s="14" t="s">
        <v>6389</v>
      </c>
      <c r="C1434" s="3" t="s">
        <v>1437</v>
      </c>
      <c r="D1434" s="3" t="str">
        <f>T("何祚歡")</f>
        <v>何祚歡</v>
      </c>
      <c r="E1434" s="3" t="str">
        <f>T("武漢")</f>
        <v>武漢</v>
      </c>
      <c r="F1434" s="3">
        <v>32</v>
      </c>
      <c r="G1434" s="3">
        <v>192</v>
      </c>
    </row>
    <row r="1435" spans="1:7" ht="14.25">
      <c r="A1435" s="3" t="str">
        <f>T("54303973")</f>
        <v>54303973</v>
      </c>
      <c r="B1435" s="14" t="s">
        <v>6392</v>
      </c>
      <c r="C1435" s="3" t="s">
        <v>1438</v>
      </c>
      <c r="D1435" s="3" t="str">
        <f>T("英雄旗主")</f>
        <v>英雄旗主</v>
      </c>
      <c r="E1435" s="3" t="str">
        <f>T("武漢")</f>
        <v>武漢</v>
      </c>
      <c r="F1435" s="3">
        <v>26</v>
      </c>
      <c r="G1435" s="3">
        <v>156</v>
      </c>
    </row>
    <row r="1436" spans="1:7" ht="14.25">
      <c r="A1436" s="3" t="str">
        <f>T("54304454")</f>
        <v>54304454</v>
      </c>
      <c r="B1436" s="14" t="s">
        <v>6395</v>
      </c>
      <c r="C1436" s="3" t="s">
        <v>1439</v>
      </c>
      <c r="D1436" s="3" t="str">
        <f>T("易中天")</f>
        <v>易中天</v>
      </c>
      <c r="E1436" s="3" t="str">
        <f>T("武漢")</f>
        <v>武漢</v>
      </c>
      <c r="F1436" s="3">
        <v>22.8</v>
      </c>
      <c r="G1436" s="3">
        <v>137</v>
      </c>
    </row>
    <row r="1437" spans="1:7" ht="14.25">
      <c r="A1437" s="3" t="str">
        <f>T("54321215")</f>
        <v>54321215</v>
      </c>
      <c r="B1437" s="14" t="s">
        <v>6398</v>
      </c>
      <c r="C1437" s="3" t="s">
        <v>1440</v>
      </c>
      <c r="D1437" s="3">
        <f>T("")</f>
      </c>
      <c r="E1437" s="3" t="str">
        <f>T("漢語大詞典")</f>
        <v>漢語大詞典</v>
      </c>
      <c r="F1437" s="3">
        <v>19</v>
      </c>
      <c r="G1437" s="3">
        <v>114</v>
      </c>
    </row>
    <row r="1438" spans="1:7" ht="14.25">
      <c r="A1438" s="3" t="str">
        <f>T("54332106")</f>
        <v>54332106</v>
      </c>
      <c r="B1438" s="14" t="s">
        <v>6401</v>
      </c>
      <c r="C1438" s="3" t="s">
        <v>1441</v>
      </c>
      <c r="D1438" s="3" t="str">
        <f>T("王淑靜")</f>
        <v>王淑靜</v>
      </c>
      <c r="E1438" s="3" t="str">
        <f>T("天津科譯")</f>
        <v>天津科譯</v>
      </c>
      <c r="F1438" s="3">
        <v>18</v>
      </c>
      <c r="G1438" s="3">
        <v>108</v>
      </c>
    </row>
    <row r="1439" spans="1:7" ht="14.25">
      <c r="A1439" s="3" t="str">
        <f>T("54345048")</f>
        <v>54345048</v>
      </c>
      <c r="B1439" s="14" t="s">
        <v>6405</v>
      </c>
      <c r="C1439" s="3" t="s">
        <v>1442</v>
      </c>
      <c r="D1439" s="3" t="str">
        <f>T("黃茂初著")</f>
        <v>黃茂初著</v>
      </c>
      <c r="E1439" s="3" t="str">
        <f>T("河北教育")</f>
        <v>河北教育</v>
      </c>
      <c r="F1439" s="3">
        <v>26.1</v>
      </c>
      <c r="G1439" s="3">
        <v>157</v>
      </c>
    </row>
    <row r="1440" spans="1:7" ht="14.25">
      <c r="A1440" s="3" t="str">
        <f>T("54345049")</f>
        <v>54345049</v>
      </c>
      <c r="B1440" s="14" t="s">
        <v>6409</v>
      </c>
      <c r="C1440" s="3" t="s">
        <v>1443</v>
      </c>
      <c r="D1440" s="3" t="str">
        <f>T("張鳳洪著")</f>
        <v>張鳳洪著</v>
      </c>
      <c r="E1440" s="3" t="str">
        <f>T("河北教育")</f>
        <v>河北教育</v>
      </c>
      <c r="F1440" s="3">
        <v>24</v>
      </c>
      <c r="G1440" s="3">
        <v>144</v>
      </c>
    </row>
    <row r="1441" spans="1:7" ht="14.25">
      <c r="A1441" s="3" t="str">
        <f>T("54345050")</f>
        <v>54345050</v>
      </c>
      <c r="B1441" s="14" t="s">
        <v>6412</v>
      </c>
      <c r="C1441" s="3" t="s">
        <v>1444</v>
      </c>
      <c r="D1441" s="3" t="str">
        <f>T("商彥梓著")</f>
        <v>商彥梓著</v>
      </c>
      <c r="E1441" s="3" t="str">
        <f>T("河北教育")</f>
        <v>河北教育</v>
      </c>
      <c r="F1441" s="3">
        <v>30.3</v>
      </c>
      <c r="G1441" s="3">
        <v>182</v>
      </c>
    </row>
    <row r="1442" spans="1:7" ht="14.25">
      <c r="A1442" s="3" t="str">
        <f>T("54345053")</f>
        <v>54345053</v>
      </c>
      <c r="B1442" s="14" t="s">
        <v>6415</v>
      </c>
      <c r="C1442" s="3" t="s">
        <v>1445</v>
      </c>
      <c r="D1442" s="3" t="str">
        <f>T("常萬生著")</f>
        <v>常萬生著</v>
      </c>
      <c r="E1442" s="3" t="str">
        <f>T("河北教育")</f>
        <v>河北教育</v>
      </c>
      <c r="F1442" s="3">
        <v>28.4</v>
      </c>
      <c r="G1442" s="3">
        <v>170</v>
      </c>
    </row>
    <row r="1443" spans="1:7" ht="14.25">
      <c r="A1443" s="3" t="str">
        <f>T("54345054")</f>
        <v>54345054</v>
      </c>
      <c r="B1443" s="14" t="s">
        <v>6418</v>
      </c>
      <c r="C1443" s="3" t="s">
        <v>1446</v>
      </c>
      <c r="D1443" s="3" t="str">
        <f>T("左雲霖著")</f>
        <v>左雲霖著</v>
      </c>
      <c r="E1443" s="3" t="str">
        <f>T("河北教育")</f>
        <v>河北教育</v>
      </c>
      <c r="F1443" s="3">
        <v>29</v>
      </c>
      <c r="G1443" s="3">
        <v>174</v>
      </c>
    </row>
    <row r="1444" spans="1:7" ht="14.25">
      <c r="A1444" s="3" t="str">
        <f>T("54345055")</f>
        <v>54345055</v>
      </c>
      <c r="B1444" s="14" t="s">
        <v>6421</v>
      </c>
      <c r="C1444" s="3" t="s">
        <v>1447</v>
      </c>
      <c r="D1444" s="3" t="str">
        <f>T("章栩，梅華著")</f>
        <v>章栩，梅華著</v>
      </c>
      <c r="E1444" s="3" t="str">
        <f>T("河北教育")</f>
        <v>河北教育</v>
      </c>
      <c r="F1444" s="3">
        <v>22.8</v>
      </c>
      <c r="G1444" s="3">
        <v>137</v>
      </c>
    </row>
    <row r="1445" spans="1:7" ht="14.25">
      <c r="A1445" s="3" t="str">
        <f>T("54345056")</f>
        <v>54345056</v>
      </c>
      <c r="B1445" s="14" t="s">
        <v>6424</v>
      </c>
      <c r="C1445" s="3" t="s">
        <v>1448</v>
      </c>
      <c r="D1445" s="3" t="str">
        <f>T("張鳳洪著")</f>
        <v>張鳳洪著</v>
      </c>
      <c r="E1445" s="3" t="str">
        <f>T("河北教育")</f>
        <v>河北教育</v>
      </c>
      <c r="F1445" s="3">
        <v>29.2</v>
      </c>
      <c r="G1445" s="3">
        <v>175</v>
      </c>
    </row>
    <row r="1446" spans="1:7" ht="14.25">
      <c r="A1446" s="3" t="str">
        <f>T("54345059")</f>
        <v>54345059</v>
      </c>
      <c r="B1446" s="14" t="s">
        <v>6426</v>
      </c>
      <c r="C1446" s="3" t="s">
        <v>1449</v>
      </c>
      <c r="D1446" s="3" t="str">
        <f>T("羅恒廉編著")</f>
        <v>羅恒廉編著</v>
      </c>
      <c r="E1446" s="3" t="str">
        <f>T("河北教育")</f>
        <v>河北教育</v>
      </c>
      <c r="F1446" s="3">
        <v>30.8</v>
      </c>
      <c r="G1446" s="3">
        <v>185</v>
      </c>
    </row>
    <row r="1447" spans="1:7" ht="14.25">
      <c r="A1447" s="3" t="str">
        <f>T("54345631")</f>
        <v>54345631</v>
      </c>
      <c r="B1447" s="14" t="s">
        <v>6429</v>
      </c>
      <c r="C1447" s="3" t="s">
        <v>1450</v>
      </c>
      <c r="D1447" s="3" t="str">
        <f>T("王驍主")</f>
        <v>王驍主</v>
      </c>
      <c r="E1447" s="3" t="str">
        <f>T("河北教育")</f>
        <v>河北教育</v>
      </c>
      <c r="F1447" s="3">
        <v>128</v>
      </c>
      <c r="G1447" s="3">
        <v>768</v>
      </c>
    </row>
    <row r="1448" spans="1:7" ht="14.25">
      <c r="A1448" s="3" t="str">
        <f>T("54345671")</f>
        <v>54345671</v>
      </c>
      <c r="B1448" s="14" t="s">
        <v>6432</v>
      </c>
      <c r="C1448" s="3" t="s">
        <v>1451</v>
      </c>
      <c r="D1448" s="3" t="str">
        <f>T("王鏞")</f>
        <v>王鏞</v>
      </c>
      <c r="E1448" s="3" t="str">
        <f>T("河北教育")</f>
        <v>河北教育</v>
      </c>
      <c r="F1448" s="3">
        <v>58</v>
      </c>
      <c r="G1448" s="3">
        <v>348</v>
      </c>
    </row>
    <row r="1449" spans="1:7" ht="14.25">
      <c r="A1449" s="3" t="str">
        <f>T("54346862")</f>
        <v>54346862</v>
      </c>
      <c r="B1449" s="14" t="s">
        <v>6435</v>
      </c>
      <c r="C1449" s="3" t="s">
        <v>1452</v>
      </c>
      <c r="D1449" s="3" t="str">
        <f>T("祁連休")</f>
        <v>祁連休</v>
      </c>
      <c r="E1449" s="3" t="str">
        <f>T("河北麥田")</f>
        <v>河北麥田</v>
      </c>
      <c r="F1449" s="3">
        <v>58</v>
      </c>
      <c r="G1449" s="3">
        <v>348</v>
      </c>
    </row>
    <row r="1450" spans="1:7" ht="14.25">
      <c r="A1450" s="3" t="str">
        <f>T("54347343")</f>
        <v>54347343</v>
      </c>
      <c r="B1450" s="14" t="s">
        <v>6439</v>
      </c>
      <c r="C1450" s="3" t="s">
        <v>1453</v>
      </c>
      <c r="D1450" s="3" t="str">
        <f>T("旭宇")</f>
        <v>旭宇</v>
      </c>
      <c r="E1450" s="3" t="str">
        <f>T("河北教育")</f>
        <v>河北教育</v>
      </c>
      <c r="F1450" s="3">
        <v>48</v>
      </c>
      <c r="G1450" s="3">
        <v>288</v>
      </c>
    </row>
    <row r="1451" spans="1:7" ht="14.25">
      <c r="A1451" s="3" t="str">
        <f>T("54385892")</f>
        <v>54385892</v>
      </c>
      <c r="B1451" s="14" t="s">
        <v>6442</v>
      </c>
      <c r="C1451" s="3" t="s">
        <v>1454</v>
      </c>
      <c r="D1451" s="3" t="str">
        <f>T("鄒巔著")</f>
        <v>鄒巔著</v>
      </c>
      <c r="E1451" s="3" t="str">
        <f>T("湖南人民")</f>
        <v>湖南人民</v>
      </c>
      <c r="F1451" s="3">
        <v>28</v>
      </c>
      <c r="G1451" s="3">
        <v>168</v>
      </c>
    </row>
    <row r="1452" spans="1:7" ht="14.25">
      <c r="A1452" s="3" t="str">
        <f>T("54386022")</f>
        <v>54386022</v>
      </c>
      <c r="B1452" s="14" t="s">
        <v>6446</v>
      </c>
      <c r="C1452" s="3" t="s">
        <v>1455</v>
      </c>
      <c r="D1452" s="3" t="str">
        <f>T("劉學")</f>
        <v>劉學</v>
      </c>
      <c r="E1452" s="3" t="str">
        <f>T("湖南人民")</f>
        <v>湖南人民</v>
      </c>
      <c r="F1452" s="3">
        <v>32</v>
      </c>
      <c r="G1452" s="3">
        <v>192</v>
      </c>
    </row>
    <row r="1453" spans="1:7" ht="14.25">
      <c r="A1453" s="3" t="str">
        <f>T("54386598")</f>
        <v>54386598</v>
      </c>
      <c r="B1453" s="14" t="s">
        <v>6449</v>
      </c>
      <c r="C1453" s="3" t="s">
        <v>1456</v>
      </c>
      <c r="D1453" s="3" t="str">
        <f>T("沉忱. 著")</f>
        <v>沉忱. 著</v>
      </c>
      <c r="E1453" s="3" t="str">
        <f>T("湖南人民")</f>
        <v>湖南人民</v>
      </c>
      <c r="F1453" s="3">
        <v>32</v>
      </c>
      <c r="G1453" s="3">
        <v>192</v>
      </c>
    </row>
    <row r="1454" spans="1:7" ht="14.25">
      <c r="A1454" s="3" t="str">
        <f>T("54386618")</f>
        <v>54386618</v>
      </c>
      <c r="B1454" s="14" t="s">
        <v>6452</v>
      </c>
      <c r="C1454" s="3" t="s">
        <v>1457</v>
      </c>
      <c r="D1454" s="3" t="str">
        <f>T("鄭海麟. 著")</f>
        <v>鄭海麟. 著</v>
      </c>
      <c r="E1454" s="3" t="str">
        <f>T("湖南人民")</f>
        <v>湖南人民</v>
      </c>
      <c r="F1454" s="3">
        <v>38</v>
      </c>
      <c r="G1454" s="3">
        <v>228</v>
      </c>
    </row>
    <row r="1455" spans="1:7" ht="14.25">
      <c r="A1455" s="3" t="str">
        <f>T("54404116")</f>
        <v>54404116</v>
      </c>
      <c r="B1455" s="14" t="s">
        <v>6455</v>
      </c>
      <c r="C1455" s="3" t="s">
        <v>1458</v>
      </c>
      <c r="D1455" s="3" t="str">
        <f>T("王連升")</f>
        <v>王連升</v>
      </c>
      <c r="E1455" s="3" t="str">
        <f>T("山西教育")</f>
        <v>山西教育</v>
      </c>
      <c r="F1455" s="3">
        <v>16</v>
      </c>
      <c r="G1455" s="3">
        <v>96</v>
      </c>
    </row>
    <row r="1456" spans="1:7" ht="14.25">
      <c r="A1456" s="3" t="str">
        <f>T("54404127")</f>
        <v>54404127</v>
      </c>
      <c r="B1456" s="14" t="s">
        <v>6459</v>
      </c>
      <c r="C1456" s="3" t="s">
        <v>1459</v>
      </c>
      <c r="D1456" s="3" t="str">
        <f>T("王連升")</f>
        <v>王連升</v>
      </c>
      <c r="E1456" s="3" t="str">
        <f>T("山西教育")</f>
        <v>山西教育</v>
      </c>
      <c r="F1456" s="3">
        <v>16</v>
      </c>
      <c r="G1456" s="3">
        <v>96</v>
      </c>
    </row>
    <row r="1457" spans="1:7" ht="14.25">
      <c r="A1457" s="3" t="str">
        <f>T("54404128")</f>
        <v>54404128</v>
      </c>
      <c r="B1457" s="14" t="s">
        <v>6461</v>
      </c>
      <c r="C1457" s="3" t="s">
        <v>1460</v>
      </c>
      <c r="D1457" s="3" t="str">
        <f>T("王連升")</f>
        <v>王連升</v>
      </c>
      <c r="E1457" s="3" t="str">
        <f>T("山西教育")</f>
        <v>山西教育</v>
      </c>
      <c r="F1457" s="3">
        <v>16</v>
      </c>
      <c r="G1457" s="3">
        <v>96</v>
      </c>
    </row>
    <row r="1458" spans="1:7" ht="14.25">
      <c r="A1458" s="3" t="str">
        <f>T("54414314")</f>
        <v>54414314</v>
      </c>
      <c r="B1458" s="14" t="s">
        <v>6463</v>
      </c>
      <c r="C1458" s="3" t="s">
        <v>1461</v>
      </c>
      <c r="D1458" s="3" t="str">
        <f>T("南宗丘. 著")</f>
        <v>南宗丘. 著</v>
      </c>
      <c r="E1458" s="3" t="str">
        <f>T("瀋陽")</f>
        <v>瀋陽</v>
      </c>
      <c r="F1458" s="3">
        <v>24.8</v>
      </c>
      <c r="G1458" s="3">
        <v>149</v>
      </c>
    </row>
    <row r="1459" spans="1:7" ht="14.25">
      <c r="A1459" s="3" t="str">
        <f>T("54424391")</f>
        <v>54424391</v>
      </c>
      <c r="B1459" s="14" t="s">
        <v>6467</v>
      </c>
      <c r="C1459" s="3" t="s">
        <v>1462</v>
      </c>
      <c r="D1459" s="3" t="str">
        <f>T("(美)派特麗夏·康薇")</f>
        <v>(美)派特麗夏·康薇</v>
      </c>
      <c r="E1459" s="3" t="str">
        <f>T("南海")</f>
        <v>南海</v>
      </c>
      <c r="F1459" s="3">
        <v>25</v>
      </c>
      <c r="G1459" s="3">
        <v>150</v>
      </c>
    </row>
    <row r="1460" spans="1:7" ht="14.25">
      <c r="A1460" s="3" t="str">
        <f>T("54432261")</f>
        <v>54432261</v>
      </c>
      <c r="B1460" s="14" t="s">
        <v>6470</v>
      </c>
      <c r="C1460" s="3" t="s">
        <v>1463</v>
      </c>
      <c r="D1460" s="3" t="str">
        <f>T("伍立楊")</f>
        <v>伍立楊</v>
      </c>
      <c r="E1460" s="3" t="str">
        <f>T("海南三環")</f>
        <v>海南三環</v>
      </c>
      <c r="F1460" s="3">
        <v>28</v>
      </c>
      <c r="G1460" s="3">
        <v>168</v>
      </c>
    </row>
    <row r="1461" spans="1:7" ht="14.25">
      <c r="A1461" s="3" t="str">
        <f>T("54442029")</f>
        <v>54442029</v>
      </c>
      <c r="B1461" s="14" t="s">
        <v>6474</v>
      </c>
      <c r="C1461" s="3" t="s">
        <v>1464</v>
      </c>
      <c r="D1461" s="3" t="str">
        <f>T("編委")</f>
        <v>編委</v>
      </c>
      <c r="E1461" s="3" t="str">
        <f>T("上海教育")</f>
        <v>上海教育</v>
      </c>
      <c r="F1461" s="3">
        <v>98</v>
      </c>
      <c r="G1461" s="3">
        <v>588</v>
      </c>
    </row>
    <row r="1462" spans="1:7" ht="14.25">
      <c r="A1462" s="3" t="str">
        <f>T("54443561")</f>
        <v>54443561</v>
      </c>
      <c r="B1462" s="14" t="s">
        <v>6477</v>
      </c>
      <c r="C1462" s="3" t="s">
        <v>1465</v>
      </c>
      <c r="D1462" s="3" t="str">
        <f>T("編委")</f>
        <v>編委</v>
      </c>
      <c r="E1462" s="3" t="str">
        <f>T("上海教育")</f>
        <v>上海教育</v>
      </c>
      <c r="F1462" s="3">
        <v>38</v>
      </c>
      <c r="G1462" s="3">
        <v>228</v>
      </c>
    </row>
    <row r="1463" spans="1:7" ht="14.25">
      <c r="A1463" s="3" t="str">
        <f>T("54450362")</f>
        <v>54450362</v>
      </c>
      <c r="B1463" s="14" t="s">
        <v>6479</v>
      </c>
      <c r="C1463" s="3" t="s">
        <v>1466</v>
      </c>
      <c r="D1463" s="3" t="str">
        <f>T("安震")</f>
        <v>安震</v>
      </c>
      <c r="E1463" s="3" t="str">
        <f>T("長春")</f>
        <v>長春</v>
      </c>
      <c r="F1463" s="3">
        <v>27</v>
      </c>
      <c r="G1463" s="3">
        <v>162</v>
      </c>
    </row>
    <row r="1464" spans="1:7" ht="14.25">
      <c r="A1464" s="3" t="str">
        <f>T("54450484")</f>
        <v>54450484</v>
      </c>
      <c r="B1464" s="14" t="s">
        <v>6483</v>
      </c>
      <c r="C1464" s="3" t="s">
        <v>1467</v>
      </c>
      <c r="D1464" s="3" t="str">
        <f>T("王子今")</f>
        <v>王子今</v>
      </c>
      <c r="E1464" s="3" t="str">
        <f>T("長春")</f>
        <v>長春</v>
      </c>
      <c r="F1464" s="3">
        <v>28</v>
      </c>
      <c r="G1464" s="3">
        <v>168</v>
      </c>
    </row>
    <row r="1465" spans="1:7" ht="14.25">
      <c r="A1465" s="3" t="str">
        <f>T("54450693")</f>
        <v>54450693</v>
      </c>
      <c r="B1465" s="14" t="s">
        <v>6486</v>
      </c>
      <c r="C1465" s="3" t="s">
        <v>1468</v>
      </c>
      <c r="D1465" s="3" t="str">
        <f>T("江心力著")</f>
        <v>江心力著</v>
      </c>
      <c r="E1465" s="3" t="str">
        <f>T("長春")</f>
        <v>長春</v>
      </c>
      <c r="F1465" s="3">
        <v>29</v>
      </c>
      <c r="G1465" s="3">
        <v>174</v>
      </c>
    </row>
    <row r="1466" spans="1:7" ht="14.25">
      <c r="A1466" s="3" t="str">
        <f>T("54451151")</f>
        <v>54451151</v>
      </c>
      <c r="B1466" s="14" t="s">
        <v>6489</v>
      </c>
      <c r="C1466" s="3" t="s">
        <v>1469</v>
      </c>
      <c r="D1466" s="3" t="str">
        <f>T("佟偉")</f>
        <v>佟偉</v>
      </c>
      <c r="E1466" s="3" t="str">
        <f>T("長春")</f>
        <v>長春</v>
      </c>
      <c r="F1466" s="3">
        <v>23</v>
      </c>
      <c r="G1466" s="3">
        <v>138</v>
      </c>
    </row>
    <row r="1467" spans="1:7" ht="14.25">
      <c r="A1467" s="3" t="str">
        <f>T("54520157")</f>
        <v>54520157</v>
      </c>
      <c r="B1467" s="14" t="s">
        <v>6492</v>
      </c>
      <c r="C1467" s="3" t="s">
        <v>1470</v>
      </c>
      <c r="D1467" s="3" t="str">
        <f>T("高天流雲")</f>
        <v>高天流雲</v>
      </c>
      <c r="E1467" s="3" t="str">
        <f>T("上海錦繡")</f>
        <v>上海錦繡</v>
      </c>
      <c r="F1467" s="3">
        <v>28</v>
      </c>
      <c r="G1467" s="3">
        <v>168</v>
      </c>
    </row>
    <row r="1468" spans="1:7" ht="14.25">
      <c r="A1468" s="3" t="str">
        <f>T("54520382")</f>
        <v>54520382</v>
      </c>
      <c r="B1468" s="14" t="s">
        <v>6496</v>
      </c>
      <c r="C1468" s="3" t="s">
        <v>1471</v>
      </c>
      <c r="D1468" s="3" t="str">
        <f>T("郝銘鑒")</f>
        <v>郝銘鑒</v>
      </c>
      <c r="E1468" s="3" t="str">
        <f>T("錦繡文章")</f>
        <v>錦繡文章</v>
      </c>
      <c r="F1468" s="3">
        <v>18</v>
      </c>
      <c r="G1468" s="3">
        <v>108</v>
      </c>
    </row>
    <row r="1469" spans="1:7" ht="14.25">
      <c r="A1469" s="3" t="str">
        <f>T("54520386")</f>
        <v>54520386</v>
      </c>
      <c r="B1469" s="14" t="s">
        <v>6500</v>
      </c>
      <c r="C1469" s="3" t="s">
        <v>1472</v>
      </c>
      <c r="D1469" s="3" t="str">
        <f>T("高天流雲著")</f>
        <v>高天流雲著</v>
      </c>
      <c r="E1469" s="3" t="str">
        <f>T("上海錦繡")</f>
        <v>上海錦繡</v>
      </c>
      <c r="F1469" s="3">
        <v>28</v>
      </c>
      <c r="G1469" s="3">
        <v>168</v>
      </c>
    </row>
    <row r="1470" spans="1:7" ht="14.25">
      <c r="A1470" s="3" t="str">
        <f>T("54520408")</f>
        <v>54520408</v>
      </c>
      <c r="B1470" s="14" t="s">
        <v>6503</v>
      </c>
      <c r="C1470" s="3" t="s">
        <v>1473</v>
      </c>
      <c r="D1470" s="3" t="str">
        <f>T("草色風煙")</f>
        <v>草色風煙</v>
      </c>
      <c r="E1470" s="3" t="str">
        <f>T("上海錦繡")</f>
        <v>上海錦繡</v>
      </c>
      <c r="F1470" s="3">
        <v>28</v>
      </c>
      <c r="G1470" s="3">
        <v>168</v>
      </c>
    </row>
    <row r="1471" spans="1:7" ht="14.25">
      <c r="A1471" s="3" t="str">
        <f>T("54520511")</f>
        <v>54520511</v>
      </c>
      <c r="B1471" s="14" t="s">
        <v>6506</v>
      </c>
      <c r="C1471" s="3" t="s">
        <v>1474</v>
      </c>
      <c r="D1471" s="3" t="str">
        <f>T("高天流雲")</f>
        <v>高天流雲</v>
      </c>
      <c r="E1471" s="3" t="str">
        <f>T("上海錦繡")</f>
        <v>上海錦繡</v>
      </c>
      <c r="F1471" s="3">
        <v>28</v>
      </c>
      <c r="G1471" s="3">
        <v>168</v>
      </c>
    </row>
    <row r="1472" spans="1:7" ht="14.25">
      <c r="A1472" s="3" t="str">
        <f>T("54540151")</f>
        <v>54540151</v>
      </c>
      <c r="B1472" s="14" t="s">
        <v>6508</v>
      </c>
      <c r="C1472" s="3" t="s">
        <v>1475</v>
      </c>
      <c r="D1472" s="3">
        <f>T("")</f>
      </c>
      <c r="E1472" s="3" t="str">
        <f>T("廣東經濟")</f>
        <v>廣東經濟</v>
      </c>
      <c r="F1472" s="3">
        <v>20</v>
      </c>
      <c r="G1472" s="3">
        <v>120</v>
      </c>
    </row>
    <row r="1473" spans="1:7" ht="14.25">
      <c r="A1473" s="3" t="str">
        <f>T("54550094")</f>
        <v>54550094</v>
      </c>
      <c r="B1473" s="14" t="s">
        <v>6511</v>
      </c>
      <c r="C1473" s="3" t="s">
        <v>1476</v>
      </c>
      <c r="D1473" s="3" t="str">
        <f>T("劉南江")</f>
        <v>劉南江</v>
      </c>
      <c r="E1473" s="3" t="str">
        <f>T("天地")</f>
        <v>天地</v>
      </c>
      <c r="F1473" s="3">
        <v>29</v>
      </c>
      <c r="G1473" s="3">
        <v>174</v>
      </c>
    </row>
    <row r="1474" spans="1:7" ht="14.25">
      <c r="A1474" s="3" t="str">
        <f>T("54580123")</f>
        <v>54580123</v>
      </c>
      <c r="B1474" s="14" t="s">
        <v>6514</v>
      </c>
      <c r="C1474" s="3" t="s">
        <v>1477</v>
      </c>
      <c r="D1474" s="3" t="str">
        <f>T("朱國榮")</f>
        <v>朱國榮</v>
      </c>
      <c r="E1474" s="3" t="str">
        <f>T("上海書店")</f>
        <v>上海書店</v>
      </c>
      <c r="F1474" s="3">
        <v>40</v>
      </c>
      <c r="G1474" s="3">
        <v>240</v>
      </c>
    </row>
    <row r="1475" spans="1:7" ht="14.25">
      <c r="A1475" s="3" t="str">
        <f>T("54580165")</f>
        <v>54580165</v>
      </c>
      <c r="B1475" s="14" t="s">
        <v>6518</v>
      </c>
      <c r="C1475" s="3" t="s">
        <v>1478</v>
      </c>
      <c r="D1475" s="3" t="str">
        <f>T("上海書店出版社")</f>
        <v>上海書店出版社</v>
      </c>
      <c r="E1475" s="3" t="str">
        <f>T("上海書店")</f>
        <v>上海書店</v>
      </c>
      <c r="F1475" s="3">
        <v>380</v>
      </c>
      <c r="G1475" s="3">
        <v>2280</v>
      </c>
    </row>
    <row r="1476" spans="1:7" ht="14.25">
      <c r="A1476" s="3" t="str">
        <f>T("54580167")</f>
        <v>54580167</v>
      </c>
      <c r="B1476" s="14" t="s">
        <v>6521</v>
      </c>
      <c r="C1476" s="3" t="s">
        <v>1479</v>
      </c>
      <c r="D1476" s="3" t="str">
        <f>T("朱蘇進著")</f>
        <v>朱蘇進著</v>
      </c>
      <c r="E1476" s="3" t="str">
        <f>T("上海書店")</f>
        <v>上海書店</v>
      </c>
      <c r="F1476" s="3">
        <v>38</v>
      </c>
      <c r="G1476" s="3">
        <v>228</v>
      </c>
    </row>
    <row r="1477" spans="1:7" ht="14.25">
      <c r="A1477" s="3" t="str">
        <f>T("54610022")</f>
        <v>54610022</v>
      </c>
      <c r="B1477" s="14" t="s">
        <v>6524</v>
      </c>
      <c r="C1477" s="3" t="s">
        <v>1480</v>
      </c>
      <c r="D1477" s="3" t="str">
        <f>T("楊維貞")</f>
        <v>楊維貞</v>
      </c>
      <c r="E1477" s="3" t="str">
        <f>T("黃山書社")</f>
        <v>黃山書社</v>
      </c>
      <c r="F1477" s="3">
        <v>24</v>
      </c>
      <c r="G1477" s="3">
        <v>144</v>
      </c>
    </row>
    <row r="1478" spans="1:7" ht="14.25">
      <c r="A1478" s="3" t="str">
        <f>T("54610188")</f>
        <v>54610188</v>
      </c>
      <c r="B1478" s="14" t="s">
        <v>6536</v>
      </c>
      <c r="C1478" s="3" t="s">
        <v>1481</v>
      </c>
      <c r="D1478" s="3" t="str">
        <f>T("王輝斌")</f>
        <v>王輝斌</v>
      </c>
      <c r="E1478" s="3" t="str">
        <f>T("黃山書社")</f>
        <v>黃山書社</v>
      </c>
      <c r="F1478" s="3">
        <v>34</v>
      </c>
      <c r="G1478" s="3">
        <v>204</v>
      </c>
    </row>
    <row r="1479" spans="1:7" ht="14.25">
      <c r="A1479" s="3" t="str">
        <f>T("54610838")</f>
        <v>54610838</v>
      </c>
      <c r="B1479" s="14" t="s">
        <v>6539</v>
      </c>
      <c r="C1479" s="3" t="s">
        <v>1482</v>
      </c>
      <c r="D1479" s="3" t="str">
        <f>T("周可真")</f>
        <v>周可真</v>
      </c>
      <c r="E1479" s="3" t="str">
        <f>T("黃山書社")</f>
        <v>黃山書社</v>
      </c>
      <c r="F1479" s="3">
        <v>28</v>
      </c>
      <c r="G1479" s="3">
        <v>168</v>
      </c>
    </row>
    <row r="1480" spans="1:7" ht="14.25">
      <c r="A1480" s="3" t="str">
        <f>T("54630748")</f>
        <v>54630748</v>
      </c>
      <c r="B1480" s="14" t="s">
        <v>6546</v>
      </c>
      <c r="C1480" s="3" t="s">
        <v>1483</v>
      </c>
      <c r="D1480" s="3" t="str">
        <f>T("羅哲鬱")</f>
        <v>羅哲鬱</v>
      </c>
      <c r="E1480" s="3" t="str">
        <f>T("吉林出版")</f>
        <v>吉林出版</v>
      </c>
      <c r="F1480" s="3">
        <v>26.8</v>
      </c>
      <c r="G1480" s="3">
        <v>161</v>
      </c>
    </row>
    <row r="1481" spans="1:7" ht="14.25">
      <c r="A1481" s="3" t="str">
        <f>T("54631120")</f>
        <v>54631120</v>
      </c>
      <c r="B1481" s="14" t="s">
        <v>6550</v>
      </c>
      <c r="C1481" s="3" t="s">
        <v>1484</v>
      </c>
      <c r="D1481" s="3" t="str">
        <f>T("張程")</f>
        <v>張程</v>
      </c>
      <c r="E1481" s="3" t="str">
        <f>T("吉林出版")</f>
        <v>吉林出版</v>
      </c>
      <c r="F1481" s="3">
        <v>29.8</v>
      </c>
      <c r="G1481" s="3">
        <v>179</v>
      </c>
    </row>
    <row r="1482" spans="1:7" ht="14.25">
      <c r="A1482" s="3" t="str">
        <f>T("54632207")</f>
        <v>54632207</v>
      </c>
      <c r="B1482" s="14" t="s">
        <v>6553</v>
      </c>
      <c r="C1482" s="3" t="s">
        <v>1485</v>
      </c>
      <c r="D1482" s="3" t="str">
        <f>T("宮玉海. 著")</f>
        <v>宮玉海. 著</v>
      </c>
      <c r="E1482" s="3" t="str">
        <f>T("吉林出版")</f>
        <v>吉林出版</v>
      </c>
      <c r="F1482" s="3">
        <v>19.8</v>
      </c>
      <c r="G1482" s="3">
        <v>119</v>
      </c>
    </row>
    <row r="1483" spans="1:7" ht="14.25">
      <c r="A1483" s="3" t="str">
        <f>T("54632309")</f>
        <v>54632309</v>
      </c>
      <c r="B1483" s="14" t="s">
        <v>6556</v>
      </c>
      <c r="C1483" s="3" t="s">
        <v>1486</v>
      </c>
      <c r="D1483" s="3" t="str">
        <f>T("魏國靜. 高玉昆. 著")</f>
        <v>魏國靜. 高玉昆. 著</v>
      </c>
      <c r="E1483" s="3" t="str">
        <f>T("吉林出版")</f>
        <v>吉林出版</v>
      </c>
      <c r="F1483" s="3">
        <v>29.8</v>
      </c>
      <c r="G1483" s="3">
        <v>179</v>
      </c>
    </row>
    <row r="1484" spans="1:7" ht="14.25">
      <c r="A1484" s="3" t="str">
        <f>T("54632310")</f>
        <v>54632310</v>
      </c>
      <c r="B1484" s="14" t="s">
        <v>6559</v>
      </c>
      <c r="C1484" s="3" t="s">
        <v>1487</v>
      </c>
      <c r="D1484" s="3" t="str">
        <f>T("老絲")</f>
        <v>老絲</v>
      </c>
      <c r="E1484" s="3" t="str">
        <f>T("吉林出版")</f>
        <v>吉林出版</v>
      </c>
      <c r="F1484" s="3">
        <v>29.8</v>
      </c>
      <c r="G1484" s="3">
        <v>179</v>
      </c>
    </row>
    <row r="1485" spans="1:7" ht="14.25">
      <c r="A1485" s="3" t="str">
        <f>T("54632809")</f>
        <v>54632809</v>
      </c>
      <c r="B1485" s="14" t="s">
        <v>6562</v>
      </c>
      <c r="C1485" s="3" t="s">
        <v>1488</v>
      </c>
      <c r="D1485" s="3" t="str">
        <f>T("摘星樓主. 著")</f>
        <v>摘星樓主. 著</v>
      </c>
      <c r="E1485" s="3" t="str">
        <f>T("吉林出版")</f>
        <v>吉林出版</v>
      </c>
      <c r="F1485" s="3">
        <v>29</v>
      </c>
      <c r="G1485" s="3">
        <v>174</v>
      </c>
    </row>
    <row r="1486" spans="1:7" ht="14.25">
      <c r="A1486" s="3" t="str">
        <f>T("54633700")</f>
        <v>54633700</v>
      </c>
      <c r="B1486" s="14" t="s">
        <v>6565</v>
      </c>
      <c r="C1486" s="3" t="s">
        <v>1489</v>
      </c>
      <c r="D1486" s="3" t="str">
        <f>T("老絲")</f>
        <v>老絲</v>
      </c>
      <c r="E1486" s="3" t="str">
        <f>T("吉林出版")</f>
        <v>吉林出版</v>
      </c>
      <c r="F1486" s="3">
        <v>29.8</v>
      </c>
      <c r="G1486" s="3">
        <v>179</v>
      </c>
    </row>
    <row r="1487" spans="1:7" ht="14.25">
      <c r="A1487" s="3" t="str">
        <f>T("54660077")</f>
        <v>54660077</v>
      </c>
      <c r="B1487" s="14" t="s">
        <v>6567</v>
      </c>
      <c r="C1487" s="3" t="s">
        <v>1490</v>
      </c>
      <c r="D1487" s="3" t="str">
        <f>T("未建檔")</f>
        <v>未建檔</v>
      </c>
      <c r="E1487" s="3" t="str">
        <f>T("新疆科技")</f>
        <v>新疆科技</v>
      </c>
      <c r="F1487" s="3">
        <v>52</v>
      </c>
      <c r="G1487" s="3">
        <v>312</v>
      </c>
    </row>
    <row r="1488" spans="1:7" ht="14.25">
      <c r="A1488" s="3" t="str">
        <f>T("54660268")</f>
        <v>54660268</v>
      </c>
      <c r="B1488" s="14" t="s">
        <v>6570</v>
      </c>
      <c r="C1488" s="3" t="s">
        <v>1491</v>
      </c>
      <c r="D1488" s="3" t="str">
        <f>T("未建檔")</f>
        <v>未建檔</v>
      </c>
      <c r="E1488" s="3" t="str">
        <f>T("新疆科技")</f>
        <v>新疆科技</v>
      </c>
      <c r="F1488" s="3">
        <v>28</v>
      </c>
      <c r="G1488" s="3">
        <v>168</v>
      </c>
    </row>
    <row r="1489" spans="1:7" ht="14.25">
      <c r="A1489" s="3" t="str">
        <f>T("54660929")</f>
        <v>54660929</v>
      </c>
      <c r="B1489" s="14" t="s">
        <v>6572</v>
      </c>
      <c r="C1489" s="3" t="s">
        <v>1492</v>
      </c>
      <c r="D1489" s="3" t="str">
        <f>T("未建檔")</f>
        <v>未建檔</v>
      </c>
      <c r="E1489" s="3" t="str">
        <f>T("新疆科技")</f>
        <v>新疆科技</v>
      </c>
      <c r="F1489" s="3">
        <v>120</v>
      </c>
      <c r="G1489" s="3">
        <v>720</v>
      </c>
    </row>
    <row r="1490" spans="1:7" ht="14.25">
      <c r="A1490" s="3" t="str">
        <f>T("54660945")</f>
        <v>54660945</v>
      </c>
      <c r="B1490" s="14" t="s">
        <v>6574</v>
      </c>
      <c r="C1490" s="3" t="s">
        <v>1493</v>
      </c>
      <c r="D1490" s="3" t="str">
        <f>T("未建檔")</f>
        <v>未建檔</v>
      </c>
      <c r="E1490" s="3" t="str">
        <f>T("新疆科技")</f>
        <v>新疆科技</v>
      </c>
      <c r="F1490" s="3">
        <v>380</v>
      </c>
      <c r="G1490" s="3">
        <v>2280</v>
      </c>
    </row>
    <row r="1491" spans="1:7" ht="14.25">
      <c r="A1491" s="3" t="str">
        <f>T("54661094")</f>
        <v>54661094</v>
      </c>
      <c r="B1491" s="14" t="s">
        <v>6576</v>
      </c>
      <c r="C1491" s="3" t="s">
        <v>1494</v>
      </c>
      <c r="D1491" s="3" t="str">
        <f>T("未建檔")</f>
        <v>未建檔</v>
      </c>
      <c r="E1491" s="3" t="str">
        <f>T("新疆科技")</f>
        <v>新疆科技</v>
      </c>
      <c r="F1491" s="3">
        <v>42</v>
      </c>
      <c r="G1491" s="3">
        <v>252</v>
      </c>
    </row>
    <row r="1492" spans="1:7" ht="14.25">
      <c r="A1492" s="3" t="str">
        <f>T("54661124")</f>
        <v>54661124</v>
      </c>
      <c r="B1492" s="14" t="s">
        <v>6578</v>
      </c>
      <c r="C1492" s="3" t="s">
        <v>1495</v>
      </c>
      <c r="D1492" s="3" t="str">
        <f>T("未建檔")</f>
        <v>未建檔</v>
      </c>
      <c r="E1492" s="3" t="str">
        <f>T("新疆科技")</f>
        <v>新疆科技</v>
      </c>
      <c r="F1492" s="3">
        <v>30</v>
      </c>
      <c r="G1492" s="3">
        <v>180</v>
      </c>
    </row>
    <row r="1493" spans="1:7" ht="14.25">
      <c r="A1493" s="3" t="str">
        <f>T("54661460")</f>
        <v>54661460</v>
      </c>
      <c r="B1493" s="14" t="s">
        <v>6583</v>
      </c>
      <c r="C1493" s="3" t="s">
        <v>1496</v>
      </c>
      <c r="D1493" s="3" t="str">
        <f>T("未建檔")</f>
        <v>未建檔</v>
      </c>
      <c r="E1493" s="3" t="str">
        <f>T("新疆科技")</f>
        <v>新疆科技</v>
      </c>
      <c r="F1493" s="3">
        <v>25</v>
      </c>
      <c r="G1493" s="3">
        <v>150</v>
      </c>
    </row>
    <row r="1494" spans="1:7" ht="14.25">
      <c r="A1494" s="3" t="str">
        <f>T("54680042")</f>
        <v>54680042</v>
      </c>
      <c r="B1494" s="14" t="s">
        <v>6585</v>
      </c>
      <c r="C1494" s="3" t="s">
        <v>1497</v>
      </c>
      <c r="D1494" s="3" t="str">
        <f>T("王正強選編")</f>
        <v>王正強選編</v>
      </c>
      <c r="E1494" s="3" t="str">
        <f>T("敦煌文藝")</f>
        <v>敦煌文藝</v>
      </c>
      <c r="F1494" s="3">
        <v>20</v>
      </c>
      <c r="G1494" s="3">
        <v>120</v>
      </c>
    </row>
    <row r="1495" spans="1:7" ht="14.25">
      <c r="A1495" s="3" t="str">
        <f>T("54690975")</f>
        <v>54690975</v>
      </c>
      <c r="B1495" s="14" t="s">
        <v>6589</v>
      </c>
      <c r="C1495" s="3" t="s">
        <v>1498</v>
      </c>
      <c r="D1495" s="3" t="str">
        <f>T("未建檔")</f>
        <v>未建檔</v>
      </c>
      <c r="E1495" s="3" t="str">
        <f>T("新疆美攝")</f>
        <v>新疆美攝</v>
      </c>
      <c r="F1495" s="3">
        <v>380</v>
      </c>
      <c r="G1495" s="3">
        <v>2280</v>
      </c>
    </row>
    <row r="1496" spans="1:7" ht="14.25">
      <c r="A1496" s="3" t="str">
        <f>T("54691436")</f>
        <v>54691436</v>
      </c>
      <c r="B1496" s="14" t="s">
        <v>6591</v>
      </c>
      <c r="C1496" s="3" t="s">
        <v>1499</v>
      </c>
      <c r="D1496" s="3" t="str">
        <f>T("未建檔")</f>
        <v>未建檔</v>
      </c>
      <c r="E1496" s="3" t="str">
        <f>T("新疆美攝")</f>
        <v>新疆美攝</v>
      </c>
      <c r="F1496" s="3">
        <v>35.6</v>
      </c>
      <c r="G1496" s="3">
        <v>214</v>
      </c>
    </row>
    <row r="1497" spans="1:7" ht="14.25">
      <c r="A1497" s="3" t="str">
        <f>T("54691508")</f>
        <v>54691508</v>
      </c>
      <c r="B1497" s="14" t="s">
        <v>6593</v>
      </c>
      <c r="C1497" s="3" t="s">
        <v>1500</v>
      </c>
      <c r="D1497" s="3" t="str">
        <f>T("未建檔")</f>
        <v>未建檔</v>
      </c>
      <c r="E1497" s="3" t="str">
        <f>T("新疆美攝")</f>
        <v>新疆美攝</v>
      </c>
      <c r="F1497" s="3">
        <v>36</v>
      </c>
      <c r="G1497" s="3">
        <v>216</v>
      </c>
    </row>
    <row r="1498" spans="1:7" ht="14.25">
      <c r="A1498" s="3" t="str">
        <f>T("54691564")</f>
        <v>54691564</v>
      </c>
      <c r="B1498" s="14" t="s">
        <v>6595</v>
      </c>
      <c r="C1498" s="3" t="s">
        <v>1501</v>
      </c>
      <c r="D1498" s="3" t="str">
        <f>T("未建檔")</f>
        <v>未建檔</v>
      </c>
      <c r="E1498" s="3" t="str">
        <f>T("新疆美攝")</f>
        <v>新疆美攝</v>
      </c>
      <c r="F1498" s="3">
        <v>48</v>
      </c>
      <c r="G1498" s="3">
        <v>288</v>
      </c>
    </row>
    <row r="1499" spans="1:7" ht="14.25">
      <c r="A1499" s="3" t="str">
        <f>T("54691902")</f>
        <v>54691902</v>
      </c>
      <c r="B1499" s="14" t="s">
        <v>6597</v>
      </c>
      <c r="C1499" s="3" t="s">
        <v>1502</v>
      </c>
      <c r="D1499" s="3" t="str">
        <f>T("未建檔")</f>
        <v>未建檔</v>
      </c>
      <c r="E1499" s="3" t="str">
        <f>T("新疆美攝")</f>
        <v>新疆美攝</v>
      </c>
      <c r="F1499" s="3">
        <v>98</v>
      </c>
      <c r="G1499" s="3">
        <v>588</v>
      </c>
    </row>
    <row r="1500" spans="1:7" ht="14.25">
      <c r="A1500" s="3" t="str">
        <f>T("54692002")</f>
        <v>54692002</v>
      </c>
      <c r="B1500" s="14" t="s">
        <v>6599</v>
      </c>
      <c r="C1500" s="3" t="s">
        <v>1503</v>
      </c>
      <c r="D1500" s="3" t="str">
        <f>T("未建檔")</f>
        <v>未建檔</v>
      </c>
      <c r="E1500" s="3" t="str">
        <f>T("新疆美攝")</f>
        <v>新疆美攝</v>
      </c>
      <c r="F1500" s="3">
        <v>24</v>
      </c>
      <c r="G1500" s="3">
        <v>144</v>
      </c>
    </row>
    <row r="1501" spans="1:7" ht="14.25">
      <c r="A1501" s="3" t="str">
        <f>T("54692028")</f>
        <v>54692028</v>
      </c>
      <c r="B1501" s="14" t="s">
        <v>6601</v>
      </c>
      <c r="C1501" s="3" t="s">
        <v>1504</v>
      </c>
      <c r="D1501" s="3" t="str">
        <f>T("未建檔")</f>
        <v>未建檔</v>
      </c>
      <c r="E1501" s="3" t="str">
        <f>T("新疆美攝")</f>
        <v>新疆美攝</v>
      </c>
      <c r="F1501" s="3">
        <v>24</v>
      </c>
      <c r="G1501" s="3">
        <v>144</v>
      </c>
    </row>
    <row r="1502" spans="1:7" ht="14.25">
      <c r="A1502" s="3" t="str">
        <f>T("54692168")</f>
        <v>54692168</v>
      </c>
      <c r="B1502" s="14" t="s">
        <v>6603</v>
      </c>
      <c r="C1502" s="3" t="s">
        <v>1505</v>
      </c>
      <c r="D1502" s="3" t="str">
        <f>T("未建檔")</f>
        <v>未建檔</v>
      </c>
      <c r="E1502" s="3" t="str">
        <f>T("新疆美攝")</f>
        <v>新疆美攝</v>
      </c>
      <c r="F1502" s="3">
        <v>39</v>
      </c>
      <c r="G1502" s="3">
        <v>234</v>
      </c>
    </row>
    <row r="1503" spans="1:7" ht="14.25">
      <c r="A1503" s="3" t="str">
        <f>T("54692231")</f>
        <v>54692231</v>
      </c>
      <c r="B1503" s="14" t="s">
        <v>6605</v>
      </c>
      <c r="C1503" s="3" t="s">
        <v>1506</v>
      </c>
      <c r="D1503" s="3" t="str">
        <f>T("未建檔")</f>
        <v>未建檔</v>
      </c>
      <c r="E1503" s="3" t="str">
        <f>T("新疆美攝")</f>
        <v>新疆美攝</v>
      </c>
      <c r="F1503" s="3">
        <v>19.6</v>
      </c>
      <c r="G1503" s="3">
        <v>118</v>
      </c>
    </row>
    <row r="1504" spans="1:7" ht="14.25">
      <c r="A1504" s="3" t="str">
        <f>T("54692232")</f>
        <v>54692232</v>
      </c>
      <c r="B1504" s="14" t="s">
        <v>6607</v>
      </c>
      <c r="C1504" s="3" t="s">
        <v>1507</v>
      </c>
      <c r="D1504" s="3" t="str">
        <f>T("未建檔")</f>
        <v>未建檔</v>
      </c>
      <c r="E1504" s="3" t="str">
        <f>T("新疆美攝")</f>
        <v>新疆美攝</v>
      </c>
      <c r="F1504" s="3">
        <v>19.6</v>
      </c>
      <c r="G1504" s="3">
        <v>118</v>
      </c>
    </row>
    <row r="1505" spans="1:7" ht="14.25">
      <c r="A1505" s="3" t="str">
        <f>T("54692233")</f>
        <v>54692233</v>
      </c>
      <c r="B1505" s="14" t="s">
        <v>6609</v>
      </c>
      <c r="C1505" s="3" t="s">
        <v>1508</v>
      </c>
      <c r="D1505" s="3" t="str">
        <f>T("未建檔")</f>
        <v>未建檔</v>
      </c>
      <c r="E1505" s="3" t="str">
        <f>T("新疆美攝")</f>
        <v>新疆美攝</v>
      </c>
      <c r="F1505" s="3">
        <v>19.6</v>
      </c>
      <c r="G1505" s="3">
        <v>118</v>
      </c>
    </row>
    <row r="1506" spans="1:7" ht="14.25">
      <c r="A1506" s="3" t="str">
        <f>T("54692234")</f>
        <v>54692234</v>
      </c>
      <c r="B1506" s="14" t="s">
        <v>6611</v>
      </c>
      <c r="C1506" s="3" t="s">
        <v>1509</v>
      </c>
      <c r="D1506" s="3" t="str">
        <f>T("未建檔")</f>
        <v>未建檔</v>
      </c>
      <c r="E1506" s="3" t="str">
        <f>T("新疆美攝")</f>
        <v>新疆美攝</v>
      </c>
      <c r="F1506" s="3">
        <v>19.6</v>
      </c>
      <c r="G1506" s="3">
        <v>118</v>
      </c>
    </row>
    <row r="1507" spans="1:7" ht="14.25">
      <c r="A1507" s="3" t="str">
        <f>T("54692235")</f>
        <v>54692235</v>
      </c>
      <c r="B1507" s="14" t="s">
        <v>6613</v>
      </c>
      <c r="C1507" s="3" t="s">
        <v>1510</v>
      </c>
      <c r="D1507" s="3" t="str">
        <f>T("未建檔")</f>
        <v>未建檔</v>
      </c>
      <c r="E1507" s="3" t="str">
        <f>T("新疆美攝")</f>
        <v>新疆美攝</v>
      </c>
      <c r="F1507" s="3">
        <v>19.6</v>
      </c>
      <c r="G1507" s="3">
        <v>118</v>
      </c>
    </row>
    <row r="1508" spans="1:7" ht="14.25">
      <c r="A1508" s="3" t="str">
        <f>T("54692236")</f>
        <v>54692236</v>
      </c>
      <c r="B1508" s="14" t="s">
        <v>6615</v>
      </c>
      <c r="C1508" s="3" t="s">
        <v>1511</v>
      </c>
      <c r="D1508" s="3" t="str">
        <f>T("未建檔")</f>
        <v>未建檔</v>
      </c>
      <c r="E1508" s="3" t="str">
        <f>T("新疆美攝")</f>
        <v>新疆美攝</v>
      </c>
      <c r="F1508" s="3">
        <v>19.6</v>
      </c>
      <c r="G1508" s="3">
        <v>118</v>
      </c>
    </row>
    <row r="1509" spans="1:7" ht="14.25">
      <c r="A1509" s="3" t="str">
        <f>T("54692237")</f>
        <v>54692237</v>
      </c>
      <c r="B1509" s="14" t="s">
        <v>6617</v>
      </c>
      <c r="C1509" s="3" t="s">
        <v>1512</v>
      </c>
      <c r="D1509" s="3" t="str">
        <f>T("未建檔")</f>
        <v>未建檔</v>
      </c>
      <c r="E1509" s="3" t="str">
        <f>T("新疆美攝")</f>
        <v>新疆美攝</v>
      </c>
      <c r="F1509" s="3">
        <v>19.6</v>
      </c>
      <c r="G1509" s="3">
        <v>118</v>
      </c>
    </row>
    <row r="1510" spans="1:7" ht="14.25">
      <c r="A1510" s="3" t="str">
        <f>T("54692510")</f>
        <v>54692510</v>
      </c>
      <c r="B1510" s="14" t="s">
        <v>6619</v>
      </c>
      <c r="C1510" s="3" t="s">
        <v>1513</v>
      </c>
      <c r="D1510" s="3" t="str">
        <f>T("未建檔")</f>
        <v>未建檔</v>
      </c>
      <c r="E1510" s="3" t="str">
        <f>T("新疆美攝")</f>
        <v>新疆美攝</v>
      </c>
      <c r="F1510" s="3">
        <v>26.8</v>
      </c>
      <c r="G1510" s="3">
        <v>161</v>
      </c>
    </row>
    <row r="1511" spans="1:7" ht="14.25">
      <c r="A1511" s="3" t="str">
        <f>T("54692511")</f>
        <v>54692511</v>
      </c>
      <c r="B1511" s="14" t="s">
        <v>6621</v>
      </c>
      <c r="C1511" s="3" t="s">
        <v>1514</v>
      </c>
      <c r="D1511" s="3" t="str">
        <f>T("未建檔")</f>
        <v>未建檔</v>
      </c>
      <c r="E1511" s="3" t="str">
        <f>T("新疆美攝")</f>
        <v>新疆美攝</v>
      </c>
      <c r="F1511" s="3">
        <v>72</v>
      </c>
      <c r="G1511" s="3">
        <v>432</v>
      </c>
    </row>
    <row r="1512" spans="1:7" ht="14.25">
      <c r="A1512" s="3" t="str">
        <f>T("54692512")</f>
        <v>54692512</v>
      </c>
      <c r="B1512" s="14" t="s">
        <v>6623</v>
      </c>
      <c r="C1512" s="3" t="s">
        <v>1515</v>
      </c>
      <c r="D1512" s="3" t="str">
        <f>T("未建檔")</f>
        <v>未建檔</v>
      </c>
      <c r="E1512" s="3" t="str">
        <f>T("新疆美攝")</f>
        <v>新疆美攝</v>
      </c>
      <c r="F1512" s="3">
        <v>74</v>
      </c>
      <c r="G1512" s="3">
        <v>444</v>
      </c>
    </row>
    <row r="1513" spans="1:7" ht="14.25">
      <c r="A1513" s="3" t="str">
        <f>T("54692514")</f>
        <v>54692514</v>
      </c>
      <c r="B1513" s="14" t="s">
        <v>6625</v>
      </c>
      <c r="C1513" s="3" t="s">
        <v>1516</v>
      </c>
      <c r="D1513" s="3" t="str">
        <f>T("未建檔")</f>
        <v>未建檔</v>
      </c>
      <c r="E1513" s="3" t="str">
        <f>T("新疆美攝")</f>
        <v>新疆美攝</v>
      </c>
      <c r="F1513" s="3">
        <v>54</v>
      </c>
      <c r="G1513" s="3">
        <v>324</v>
      </c>
    </row>
    <row r="1514" spans="1:7" ht="14.25">
      <c r="A1514" s="3" t="str">
        <f>T("54692666")</f>
        <v>54692666</v>
      </c>
      <c r="B1514" s="14" t="s">
        <v>6627</v>
      </c>
      <c r="C1514" s="3" t="s">
        <v>1517</v>
      </c>
      <c r="D1514" s="3" t="str">
        <f>T("未建檔")</f>
        <v>未建檔</v>
      </c>
      <c r="E1514" s="3" t="str">
        <f>T("新疆美攝")</f>
        <v>新疆美攝</v>
      </c>
      <c r="F1514" s="3">
        <v>750</v>
      </c>
      <c r="G1514" s="3">
        <v>4500</v>
      </c>
    </row>
    <row r="1515" spans="1:7" ht="14.25">
      <c r="A1515" s="3" t="str">
        <f>T("54692668")</f>
        <v>54692668</v>
      </c>
      <c r="B1515" s="14" t="s">
        <v>6629</v>
      </c>
      <c r="C1515" s="3" t="s">
        <v>1518</v>
      </c>
      <c r="D1515" s="3" t="str">
        <f>T("未建檔")</f>
        <v>未建檔</v>
      </c>
      <c r="E1515" s="3" t="str">
        <f>T("新疆美攝")</f>
        <v>新疆美攝</v>
      </c>
      <c r="F1515" s="3">
        <v>750</v>
      </c>
      <c r="G1515" s="3">
        <v>4500</v>
      </c>
    </row>
    <row r="1516" spans="1:7" ht="14.25">
      <c r="A1516" s="3" t="str">
        <f>T("54692673")</f>
        <v>54692673</v>
      </c>
      <c r="B1516" s="14" t="s">
        <v>6631</v>
      </c>
      <c r="C1516" s="3" t="s">
        <v>1519</v>
      </c>
      <c r="D1516" s="3" t="str">
        <f>T("未建檔")</f>
        <v>未建檔</v>
      </c>
      <c r="E1516" s="3" t="str">
        <f>T("新疆美攝")</f>
        <v>新疆美攝</v>
      </c>
      <c r="F1516" s="3">
        <v>26</v>
      </c>
      <c r="G1516" s="3">
        <v>156</v>
      </c>
    </row>
    <row r="1517" spans="1:7" ht="14.25">
      <c r="A1517" s="3" t="str">
        <f>T("54700353")</f>
        <v>54700353</v>
      </c>
      <c r="B1517" s="14" t="s">
        <v>6633</v>
      </c>
      <c r="C1517" s="3" t="s">
        <v>1520</v>
      </c>
      <c r="D1517" s="3" t="str">
        <f>T("李克")</f>
        <v>李克</v>
      </c>
      <c r="E1517" s="3" t="str">
        <f>T("萬卷")</f>
        <v>萬卷</v>
      </c>
      <c r="F1517" s="3">
        <v>29.8</v>
      </c>
      <c r="G1517" s="3">
        <v>179</v>
      </c>
    </row>
    <row r="1518" spans="1:7" ht="14.25">
      <c r="A1518" s="3" t="str">
        <f>T("54720336")</f>
        <v>54720336</v>
      </c>
      <c r="B1518" s="14" t="s">
        <v>6637</v>
      </c>
      <c r="C1518" s="3" t="s">
        <v>1521</v>
      </c>
      <c r="D1518" s="3" t="str">
        <f>T("劉亞學. 著")</f>
        <v>劉亞學. 著</v>
      </c>
      <c r="E1518" s="3" t="str">
        <f>T("吉林文史")</f>
        <v>吉林文史</v>
      </c>
      <c r="F1518" s="3">
        <v>39.8</v>
      </c>
      <c r="G1518" s="3">
        <v>239</v>
      </c>
    </row>
    <row r="1519" spans="1:7" ht="14.25">
      <c r="A1519" s="3" t="str">
        <f>T("54730045")</f>
        <v>54730045</v>
      </c>
      <c r="B1519" s="14" t="s">
        <v>2236</v>
      </c>
      <c r="C1519" s="3" t="s">
        <v>1522</v>
      </c>
      <c r="D1519" s="3" t="str">
        <f>T("王小慧")</f>
        <v>王小慧</v>
      </c>
      <c r="E1519" s="3" t="str">
        <f>T("東方")</f>
        <v>東方</v>
      </c>
      <c r="F1519" s="3">
        <v>30</v>
      </c>
      <c r="G1519" s="3">
        <v>180</v>
      </c>
    </row>
    <row r="1520" spans="1:7" ht="14.25">
      <c r="A1520" s="3" t="str">
        <f>T("54730106")</f>
        <v>54730106</v>
      </c>
      <c r="B1520" s="14" t="s">
        <v>2236</v>
      </c>
      <c r="C1520" s="3" t="s">
        <v>1523</v>
      </c>
      <c r="D1520" s="3" t="str">
        <f>T("朱鴻召")</f>
        <v>朱鴻召</v>
      </c>
      <c r="E1520" s="3" t="str">
        <f>T("東方")</f>
        <v>東方</v>
      </c>
      <c r="F1520" s="3">
        <v>35</v>
      </c>
      <c r="G1520" s="3">
        <v>210</v>
      </c>
    </row>
    <row r="1521" spans="1:7" ht="14.25">
      <c r="A1521" s="3" t="str">
        <f>T("54730113")</f>
        <v>54730113</v>
      </c>
      <c r="B1521" s="14" t="s">
        <v>6645</v>
      </c>
      <c r="C1521" s="3" t="s">
        <v>1524</v>
      </c>
      <c r="D1521" s="3" t="str">
        <f>T("範子燁")</f>
        <v>範子燁</v>
      </c>
      <c r="E1521" s="3" t="str">
        <f>T("東方中心")</f>
        <v>東方中心</v>
      </c>
      <c r="F1521" s="3">
        <v>32</v>
      </c>
      <c r="G1521" s="3">
        <v>192</v>
      </c>
    </row>
    <row r="1522" spans="1:7" ht="14.25">
      <c r="A1522" s="3" t="str">
        <f>T("54730162")</f>
        <v>54730162</v>
      </c>
      <c r="B1522" s="14" t="s">
        <v>6649</v>
      </c>
      <c r="C1522" s="3" t="s">
        <v>1525</v>
      </c>
      <c r="D1522" s="3" t="str">
        <f>T("上海世博會事務協調局")</f>
        <v>上海世博會事務協調局</v>
      </c>
      <c r="E1522" s="3">
        <f>T("")</f>
      </c>
      <c r="F1522" s="3">
        <v>0</v>
      </c>
      <c r="G1522" s="3">
        <v>1500</v>
      </c>
    </row>
    <row r="1523" spans="1:7" ht="14.25">
      <c r="A1523" s="3" t="str">
        <f>T("54730400")</f>
        <v>54730400</v>
      </c>
      <c r="B1523" s="14" t="s">
        <v>2236</v>
      </c>
      <c r="C1523" s="3" t="s">
        <v>1526</v>
      </c>
      <c r="D1523" s="3">
        <f>T("")</f>
      </c>
      <c r="E1523" s="3" t="str">
        <f>T("東方")</f>
        <v>東方</v>
      </c>
      <c r="F1523" s="3">
        <v>220</v>
      </c>
      <c r="G1523" s="3">
        <v>1500</v>
      </c>
    </row>
    <row r="1524" spans="1:7" ht="14.25">
      <c r="A1524" s="3" t="str">
        <f>T("54730416")</f>
        <v>54730416</v>
      </c>
      <c r="B1524" s="14" t="s">
        <v>2236</v>
      </c>
      <c r="C1524" s="3" t="s">
        <v>1527</v>
      </c>
      <c r="D1524" s="3">
        <f>T("")</f>
      </c>
      <c r="E1524" s="3" t="str">
        <f>T("東方")</f>
        <v>東方</v>
      </c>
      <c r="F1524" s="3">
        <v>180</v>
      </c>
      <c r="G1524" s="3">
        <v>1300</v>
      </c>
    </row>
    <row r="1525" spans="1:7" ht="14.25">
      <c r="A1525" s="3" t="str">
        <f>T("54750060")</f>
        <v>54750060</v>
      </c>
      <c r="B1525" s="14" t="s">
        <v>6654</v>
      </c>
      <c r="C1525" s="3" t="s">
        <v>1528</v>
      </c>
      <c r="D1525" s="3" t="str">
        <f>T("王海冬. 著")</f>
        <v>王海冬. 著</v>
      </c>
      <c r="E1525" s="3" t="str">
        <f>T("百家")</f>
        <v>百家</v>
      </c>
      <c r="F1525" s="3">
        <v>32</v>
      </c>
      <c r="G1525" s="3">
        <v>192</v>
      </c>
    </row>
    <row r="1526" spans="1:7" ht="14.25">
      <c r="A1526" s="3" t="str">
        <f>T("54750061")</f>
        <v>54750061</v>
      </c>
      <c r="B1526" s="14" t="s">
        <v>6658</v>
      </c>
      <c r="C1526" s="3" t="s">
        <v>1529</v>
      </c>
      <c r="D1526" s="3" t="str">
        <f>T("章慧敏. 著")</f>
        <v>章慧敏. 著</v>
      </c>
      <c r="E1526" s="3" t="str">
        <f>T("百家")</f>
        <v>百家</v>
      </c>
      <c r="F1526" s="3">
        <v>32</v>
      </c>
      <c r="G1526" s="3">
        <v>192</v>
      </c>
    </row>
    <row r="1527" spans="1:7" ht="14.25">
      <c r="A1527" s="3" t="str">
        <f>T("54750062")</f>
        <v>54750062</v>
      </c>
      <c r="B1527" s="14" t="s">
        <v>6661</v>
      </c>
      <c r="C1527" s="3" t="s">
        <v>1530</v>
      </c>
      <c r="D1527" s="3" t="str">
        <f>T("王宏剛. 張安巡. 編著")</f>
        <v>王宏剛. 張安巡. 編著</v>
      </c>
      <c r="E1527" s="3" t="str">
        <f>T("百家")</f>
        <v>百家</v>
      </c>
      <c r="F1527" s="3">
        <v>32</v>
      </c>
      <c r="G1527" s="3">
        <v>192</v>
      </c>
    </row>
    <row r="1528" spans="1:7" ht="14.25">
      <c r="A1528" s="3" t="str">
        <f>T("54750063")</f>
        <v>54750063</v>
      </c>
      <c r="B1528" s="14" t="s">
        <v>6664</v>
      </c>
      <c r="C1528" s="3" t="s">
        <v>1531</v>
      </c>
      <c r="D1528" s="3" t="str">
        <f>T("王宏剛. 張安巡. 編著")</f>
        <v>王宏剛. 張安巡. 編著</v>
      </c>
      <c r="E1528" s="3" t="str">
        <f>T("百家")</f>
        <v>百家</v>
      </c>
      <c r="F1528" s="3">
        <v>32</v>
      </c>
      <c r="G1528" s="3">
        <v>192</v>
      </c>
    </row>
    <row r="1529" spans="1:7" ht="14.25">
      <c r="A1529" s="3" t="str">
        <f>T("54750065")</f>
        <v>54750065</v>
      </c>
      <c r="B1529" s="14" t="s">
        <v>6666</v>
      </c>
      <c r="C1529" s="3" t="s">
        <v>1532</v>
      </c>
      <c r="D1529" s="3" t="str">
        <f>T("許雲倩. 著")</f>
        <v>許雲倩. 著</v>
      </c>
      <c r="E1529" s="3" t="str">
        <f>T("百家")</f>
        <v>百家</v>
      </c>
      <c r="F1529" s="3">
        <v>32</v>
      </c>
      <c r="G1529" s="3">
        <v>192</v>
      </c>
    </row>
    <row r="1530" spans="1:7" ht="14.25">
      <c r="A1530" s="3" t="str">
        <f>T("54750066")</f>
        <v>54750066</v>
      </c>
      <c r="B1530" s="14" t="s">
        <v>6669</v>
      </c>
      <c r="C1530" s="3" t="s">
        <v>1533</v>
      </c>
      <c r="D1530" s="3" t="str">
        <f>T("袁念琪. 著")</f>
        <v>袁念琪. 著</v>
      </c>
      <c r="E1530" s="3" t="str">
        <f>T("百家")</f>
        <v>百家</v>
      </c>
      <c r="F1530" s="3">
        <v>32</v>
      </c>
      <c r="G1530" s="3">
        <v>192</v>
      </c>
    </row>
    <row r="1531" spans="1:7" ht="14.25">
      <c r="A1531" s="3" t="str">
        <f>T("54750068")</f>
        <v>54750068</v>
      </c>
      <c r="B1531" s="14" t="s">
        <v>6672</v>
      </c>
      <c r="C1531" s="3" t="s">
        <v>1534</v>
      </c>
      <c r="D1531" s="3" t="str">
        <f>T("陸幸生. 著")</f>
        <v>陸幸生. 著</v>
      </c>
      <c r="E1531" s="3" t="str">
        <f>T("百家")</f>
        <v>百家</v>
      </c>
      <c r="F1531" s="3">
        <v>32</v>
      </c>
      <c r="G1531" s="3">
        <v>192</v>
      </c>
    </row>
    <row r="1532" spans="1:7" ht="14.25">
      <c r="A1532" s="3" t="str">
        <f>T("54750069")</f>
        <v>54750069</v>
      </c>
      <c r="B1532" s="14" t="s">
        <v>6675</v>
      </c>
      <c r="C1532" s="3" t="s">
        <v>1535</v>
      </c>
      <c r="D1532" s="3" t="str">
        <f>T("楊秀麗. 著")</f>
        <v>楊秀麗. 著</v>
      </c>
      <c r="E1532" s="3" t="str">
        <f>T("百家")</f>
        <v>百家</v>
      </c>
      <c r="F1532" s="3">
        <v>32</v>
      </c>
      <c r="G1532" s="3">
        <v>192</v>
      </c>
    </row>
    <row r="1533" spans="1:7" ht="14.25">
      <c r="A1533" s="3" t="str">
        <f>T("54750070")</f>
        <v>54750070</v>
      </c>
      <c r="B1533" s="14" t="s">
        <v>6678</v>
      </c>
      <c r="C1533" s="3" t="s">
        <v>1536</v>
      </c>
      <c r="D1533" s="3" t="str">
        <f>T("張明是. 著")</f>
        <v>張明是. 著</v>
      </c>
      <c r="E1533" s="3" t="str">
        <f>T("百家")</f>
        <v>百家</v>
      </c>
      <c r="F1533" s="3">
        <v>32</v>
      </c>
      <c r="G1533" s="3">
        <v>192</v>
      </c>
    </row>
    <row r="1534" spans="1:7" ht="14.25">
      <c r="A1534" s="3" t="str">
        <f>T("54750071")</f>
        <v>54750071</v>
      </c>
      <c r="B1534" s="14" t="s">
        <v>6681</v>
      </c>
      <c r="C1534" s="3" t="s">
        <v>1537</v>
      </c>
      <c r="D1534" s="3" t="str">
        <f>T("章慧敏. 著")</f>
        <v>章慧敏. 著</v>
      </c>
      <c r="E1534" s="3" t="str">
        <f>T("百家")</f>
        <v>百家</v>
      </c>
      <c r="F1534" s="3">
        <v>32</v>
      </c>
      <c r="G1534" s="3">
        <v>192</v>
      </c>
    </row>
    <row r="1535" spans="1:7" ht="14.25">
      <c r="A1535" s="3" t="str">
        <f>T("54760212")</f>
        <v>54760212</v>
      </c>
      <c r="B1535" s="14" t="s">
        <v>6683</v>
      </c>
      <c r="C1535" s="3" t="s">
        <v>1538</v>
      </c>
      <c r="D1535" s="3" t="str">
        <f>T("章用秀")</f>
        <v>章用秀</v>
      </c>
      <c r="E1535" s="3" t="str">
        <f>T("上海遠東")</f>
        <v>上海遠東</v>
      </c>
      <c r="F1535" s="3">
        <v>98</v>
      </c>
      <c r="G1535" s="3">
        <v>588</v>
      </c>
    </row>
    <row r="1536" spans="1:7" ht="14.25">
      <c r="A1536" s="3" t="str">
        <f>T("54760331")</f>
        <v>54760331</v>
      </c>
      <c r="B1536" s="14" t="s">
        <v>6687</v>
      </c>
      <c r="C1536" s="3" t="s">
        <v>1539</v>
      </c>
      <c r="D1536" s="3" t="str">
        <f>T("吳良忠著")</f>
        <v>吳良忠著</v>
      </c>
      <c r="E1536" s="3" t="str">
        <f>T("上海遠東")</f>
        <v>上海遠東</v>
      </c>
      <c r="F1536" s="3">
        <v>42</v>
      </c>
      <c r="G1536" s="3">
        <v>252</v>
      </c>
    </row>
    <row r="1537" spans="1:7" ht="14.25">
      <c r="A1537" s="3" t="str">
        <f>T("54800167")</f>
        <v>54800167</v>
      </c>
      <c r="B1537" s="14" t="s">
        <v>6690</v>
      </c>
      <c r="C1537" s="3" t="s">
        <v>1540</v>
      </c>
      <c r="D1537" s="3" t="str">
        <f>T("李洗熙")</f>
        <v>李洗熙</v>
      </c>
      <c r="E1537" s="3" t="str">
        <f>T("江西美術")</f>
        <v>江西美術</v>
      </c>
      <c r="F1537" s="3">
        <v>25</v>
      </c>
      <c r="G1537" s="3">
        <v>150</v>
      </c>
    </row>
    <row r="1538" spans="1:7" ht="14.25">
      <c r="A1538" s="3" t="str">
        <f>T("54800171")</f>
        <v>54800171</v>
      </c>
      <c r="B1538" s="14" t="s">
        <v>6694</v>
      </c>
      <c r="C1538" s="3" t="s">
        <v>1541</v>
      </c>
      <c r="D1538" s="3" t="str">
        <f>T("金龍俊")</f>
        <v>金龍俊</v>
      </c>
      <c r="E1538" s="3" t="str">
        <f>T("江西美術")</f>
        <v>江西美術</v>
      </c>
      <c r="F1538" s="3">
        <v>25</v>
      </c>
      <c r="G1538" s="3">
        <v>150</v>
      </c>
    </row>
    <row r="1539" spans="1:7" ht="14.25">
      <c r="A1539" s="3" t="str">
        <f>T("54800589")</f>
        <v>54800589</v>
      </c>
      <c r="B1539" s="14" t="s">
        <v>6697</v>
      </c>
      <c r="C1539" s="3" t="s">
        <v>1542</v>
      </c>
      <c r="D1539" s="3" t="str">
        <f>T("本社")</f>
        <v>本社</v>
      </c>
      <c r="E1539" s="3" t="str">
        <f>T("江西美術")</f>
        <v>江西美術</v>
      </c>
      <c r="F1539" s="3">
        <v>58</v>
      </c>
      <c r="G1539" s="3">
        <v>348</v>
      </c>
    </row>
    <row r="1540" spans="1:7" ht="14.25">
      <c r="A1540" s="3" t="str">
        <f>T("54880135")</f>
        <v>54880135</v>
      </c>
      <c r="B1540" s="14" t="s">
        <v>6699</v>
      </c>
      <c r="C1540" s="3" t="s">
        <v>1543</v>
      </c>
      <c r="D1540" s="3">
        <f>T("")</f>
      </c>
      <c r="E1540" s="3" t="str">
        <f>T("濟南")</f>
        <v>濟南</v>
      </c>
      <c r="F1540" s="3">
        <v>18</v>
      </c>
      <c r="G1540" s="3">
        <v>108</v>
      </c>
    </row>
    <row r="1541" spans="1:7" ht="14.25">
      <c r="A1541" s="3" t="str">
        <f>T("54880171")</f>
        <v>54880171</v>
      </c>
      <c r="B1541" s="14" t="s">
        <v>6702</v>
      </c>
      <c r="C1541" s="3" t="s">
        <v>1544</v>
      </c>
      <c r="D1541" s="3" t="str">
        <f>T("榮新")</f>
        <v>榮新</v>
      </c>
      <c r="E1541" s="3" t="str">
        <f>T("濟南")</f>
        <v>濟南</v>
      </c>
      <c r="F1541" s="3">
        <v>17</v>
      </c>
      <c r="G1541" s="3">
        <v>102</v>
      </c>
    </row>
    <row r="1542" spans="1:7" ht="14.25">
      <c r="A1542" s="3" t="str">
        <f>T("54880231")</f>
        <v>54880231</v>
      </c>
      <c r="B1542" s="14" t="s">
        <v>6704</v>
      </c>
      <c r="C1542" s="3" t="s">
        <v>1545</v>
      </c>
      <c r="D1542" s="3" t="str">
        <f>T("郭鳳喜")</f>
        <v>郭鳳喜</v>
      </c>
      <c r="E1542" s="3" t="str">
        <f>T("濟南")</f>
        <v>濟南</v>
      </c>
      <c r="F1542" s="3">
        <v>298</v>
      </c>
      <c r="G1542" s="3">
        <v>1788</v>
      </c>
    </row>
    <row r="1543" spans="1:7" ht="14.25">
      <c r="A1543" s="3" t="str">
        <f>T("54950007")</f>
        <v>54950007</v>
      </c>
      <c r="B1543" s="14" t="s">
        <v>6707</v>
      </c>
      <c r="C1543" s="3" t="s">
        <v>1546</v>
      </c>
      <c r="D1543" s="3" t="str">
        <f>T("章太炎")</f>
        <v>章太炎</v>
      </c>
      <c r="E1543" s="3" t="str">
        <f>T("廣西師大")</f>
        <v>廣西師大</v>
      </c>
      <c r="F1543" s="3">
        <v>26.5</v>
      </c>
      <c r="G1543" s="3">
        <v>159</v>
      </c>
    </row>
    <row r="1544" spans="1:7" ht="14.25">
      <c r="A1544" s="3" t="str">
        <f>T("54950583")</f>
        <v>54950583</v>
      </c>
      <c r="B1544" s="14" t="s">
        <v>6711</v>
      </c>
      <c r="C1544" s="3" t="s">
        <v>1547</v>
      </c>
      <c r="D1544" s="3" t="str">
        <f>T("朱青生主編")</f>
        <v>朱青生主編</v>
      </c>
      <c r="E1544" s="3" t="str">
        <f>T("廣西師大")</f>
        <v>廣西師大</v>
      </c>
      <c r="F1544" s="3">
        <v>130</v>
      </c>
      <c r="G1544" s="3">
        <v>780</v>
      </c>
    </row>
    <row r="1545" spans="1:7" ht="14.25">
      <c r="A1545" s="3" t="str">
        <f>T("55050489")</f>
        <v>55050489</v>
      </c>
      <c r="B1545" s="14" t="s">
        <v>6714</v>
      </c>
      <c r="C1545" s="3" t="s">
        <v>1548</v>
      </c>
      <c r="D1545" s="3" t="str">
        <f>T("未建檔")</f>
        <v>未建檔</v>
      </c>
      <c r="E1545" s="3" t="str">
        <f>T("新疆青少年")</f>
        <v>新疆青少年</v>
      </c>
      <c r="F1545" s="3">
        <v>8</v>
      </c>
      <c r="G1545" s="3">
        <v>48</v>
      </c>
    </row>
    <row r="1546" spans="1:7" ht="14.25">
      <c r="A1546" s="3" t="str">
        <f>T("55150041")</f>
        <v>55150041</v>
      </c>
      <c r="B1546" s="14" t="s">
        <v>6716</v>
      </c>
      <c r="C1546" s="3" t="s">
        <v>1549</v>
      </c>
      <c r="D1546" s="3" t="str">
        <f>T("未建檔")</f>
        <v>未建檔</v>
      </c>
      <c r="E1546" s="3" t="str">
        <f>T("新疆青少年")</f>
        <v>新疆青少年</v>
      </c>
      <c r="F1546" s="3">
        <v>25</v>
      </c>
      <c r="G1546" s="3">
        <v>150</v>
      </c>
    </row>
    <row r="1547" spans="1:7" ht="14.25">
      <c r="A1547" s="3" t="str">
        <f>T("55150042")</f>
        <v>55150042</v>
      </c>
      <c r="B1547" s="14" t="s">
        <v>6718</v>
      </c>
      <c r="C1547" s="3" t="s">
        <v>1550</v>
      </c>
      <c r="D1547" s="3" t="str">
        <f>T("未建檔")</f>
        <v>未建檔</v>
      </c>
      <c r="E1547" s="3" t="str">
        <f>T("新疆青少年")</f>
        <v>新疆青少年</v>
      </c>
      <c r="F1547" s="3">
        <v>29.8</v>
      </c>
      <c r="G1547" s="3">
        <v>179</v>
      </c>
    </row>
    <row r="1548" spans="1:7" ht="14.25">
      <c r="A1548" s="3" t="str">
        <f>T("55150043")</f>
        <v>55150043</v>
      </c>
      <c r="B1548" s="14" t="s">
        <v>6720</v>
      </c>
      <c r="C1548" s="3" t="s">
        <v>1551</v>
      </c>
      <c r="D1548" s="3" t="str">
        <f>T("未建檔")</f>
        <v>未建檔</v>
      </c>
      <c r="E1548" s="3" t="str">
        <f>T("新疆青少年")</f>
        <v>新疆青少年</v>
      </c>
      <c r="F1548" s="3">
        <v>32.5</v>
      </c>
      <c r="G1548" s="3">
        <v>195</v>
      </c>
    </row>
    <row r="1549" spans="1:7" ht="14.25">
      <c r="A1549" s="3" t="str">
        <f>T("55150044")</f>
        <v>55150044</v>
      </c>
      <c r="B1549" s="14" t="s">
        <v>6722</v>
      </c>
      <c r="C1549" s="3" t="s">
        <v>1552</v>
      </c>
      <c r="D1549" s="3" t="str">
        <f>T("未建檔")</f>
        <v>未建檔</v>
      </c>
      <c r="E1549" s="3" t="str">
        <f>T("新疆青少年")</f>
        <v>新疆青少年</v>
      </c>
      <c r="F1549" s="3">
        <v>32.5</v>
      </c>
      <c r="G1549" s="3">
        <v>195</v>
      </c>
    </row>
    <row r="1550" spans="1:7" ht="14.25">
      <c r="A1550" s="3" t="str">
        <f>T("55150358")</f>
        <v>55150358</v>
      </c>
      <c r="B1550" s="14" t="s">
        <v>6724</v>
      </c>
      <c r="C1550" s="3" t="s">
        <v>1553</v>
      </c>
      <c r="D1550" s="3" t="str">
        <f>T("未建檔")</f>
        <v>未建檔</v>
      </c>
      <c r="E1550" s="3" t="str">
        <f>T("新疆青少年")</f>
        <v>新疆青少年</v>
      </c>
      <c r="F1550" s="3">
        <v>12</v>
      </c>
      <c r="G1550" s="3">
        <v>72</v>
      </c>
    </row>
    <row r="1551" spans="1:7" ht="14.25">
      <c r="A1551" s="3" t="str">
        <f>T("55150360")</f>
        <v>55150360</v>
      </c>
      <c r="B1551" s="14" t="s">
        <v>6726</v>
      </c>
      <c r="C1551" s="3" t="s">
        <v>1554</v>
      </c>
      <c r="D1551" s="3" t="str">
        <f>T("未建檔")</f>
        <v>未建檔</v>
      </c>
      <c r="E1551" s="3" t="str">
        <f>T("新疆青少年")</f>
        <v>新疆青少年</v>
      </c>
      <c r="F1551" s="3">
        <v>12</v>
      </c>
      <c r="G1551" s="3">
        <v>72</v>
      </c>
    </row>
    <row r="1552" spans="1:7" ht="14.25">
      <c r="A1552" s="3" t="str">
        <f>T("55150466")</f>
        <v>55150466</v>
      </c>
      <c r="B1552" s="14" t="s">
        <v>6728</v>
      </c>
      <c r="C1552" s="3" t="s">
        <v>1555</v>
      </c>
      <c r="D1552" s="3" t="str">
        <f>T("未建檔")</f>
        <v>未建檔</v>
      </c>
      <c r="E1552" s="3" t="str">
        <f>T("新疆青少年")</f>
        <v>新疆青少年</v>
      </c>
      <c r="F1552" s="3">
        <v>8</v>
      </c>
      <c r="G1552" s="3">
        <v>48</v>
      </c>
    </row>
    <row r="1553" spans="1:7" ht="14.25">
      <c r="A1553" s="3" t="str">
        <f>T("55150467")</f>
        <v>55150467</v>
      </c>
      <c r="B1553" s="14" t="s">
        <v>6730</v>
      </c>
      <c r="C1553" s="3" t="s">
        <v>1556</v>
      </c>
      <c r="D1553" s="3" t="str">
        <f>T("未建檔")</f>
        <v>未建檔</v>
      </c>
      <c r="E1553" s="3" t="str">
        <f>T("新疆青少年")</f>
        <v>新疆青少年</v>
      </c>
      <c r="F1553" s="3">
        <v>8</v>
      </c>
      <c r="G1553" s="3">
        <v>48</v>
      </c>
    </row>
    <row r="1554" spans="1:7" ht="14.25">
      <c r="A1554" s="3" t="str">
        <f>T("55150468")</f>
        <v>55150468</v>
      </c>
      <c r="B1554" s="14" t="s">
        <v>6732</v>
      </c>
      <c r="C1554" s="3" t="s">
        <v>1557</v>
      </c>
      <c r="D1554" s="3" t="str">
        <f>T("未建檔")</f>
        <v>未建檔</v>
      </c>
      <c r="E1554" s="3" t="str">
        <f>T("新疆青少年")</f>
        <v>新疆青少年</v>
      </c>
      <c r="F1554" s="3">
        <v>8</v>
      </c>
      <c r="G1554" s="3">
        <v>48</v>
      </c>
    </row>
    <row r="1555" spans="1:7" ht="14.25">
      <c r="A1555" s="3" t="str">
        <f>T("55150469")</f>
        <v>55150469</v>
      </c>
      <c r="B1555" s="14" t="s">
        <v>6734</v>
      </c>
      <c r="C1555" s="3" t="s">
        <v>1558</v>
      </c>
      <c r="D1555" s="3" t="str">
        <f>T("未建檔")</f>
        <v>未建檔</v>
      </c>
      <c r="E1555" s="3" t="str">
        <f>T("新疆青少年")</f>
        <v>新疆青少年</v>
      </c>
      <c r="F1555" s="3">
        <v>8</v>
      </c>
      <c r="G1555" s="3">
        <v>48</v>
      </c>
    </row>
    <row r="1556" spans="1:7" ht="14.25">
      <c r="A1556" s="3" t="str">
        <f>T("55150470")</f>
        <v>55150470</v>
      </c>
      <c r="B1556" s="14" t="s">
        <v>6736</v>
      </c>
      <c r="C1556" s="3" t="s">
        <v>1559</v>
      </c>
      <c r="D1556" s="3" t="str">
        <f>T("未建檔")</f>
        <v>未建檔</v>
      </c>
      <c r="E1556" s="3" t="str">
        <f>T("新疆青少年")</f>
        <v>新疆青少年</v>
      </c>
      <c r="F1556" s="3">
        <v>8</v>
      </c>
      <c r="G1556" s="3">
        <v>48</v>
      </c>
    </row>
    <row r="1557" spans="1:7" ht="14.25">
      <c r="A1557" s="3" t="str">
        <f>T("55150471")</f>
        <v>55150471</v>
      </c>
      <c r="B1557" s="14" t="s">
        <v>6738</v>
      </c>
      <c r="C1557" s="3" t="s">
        <v>1560</v>
      </c>
      <c r="D1557" s="3" t="str">
        <f>T("未建檔")</f>
        <v>未建檔</v>
      </c>
      <c r="E1557" s="3" t="str">
        <f>T("新疆青少年")</f>
        <v>新疆青少年</v>
      </c>
      <c r="F1557" s="3">
        <v>8</v>
      </c>
      <c r="G1557" s="3">
        <v>48</v>
      </c>
    </row>
    <row r="1558" spans="1:7" ht="14.25">
      <c r="A1558" s="3" t="str">
        <f>T("55150472")</f>
        <v>55150472</v>
      </c>
      <c r="B1558" s="14" t="s">
        <v>6740</v>
      </c>
      <c r="C1558" s="3" t="s">
        <v>1561</v>
      </c>
      <c r="D1558" s="3" t="str">
        <f>T("未建檔")</f>
        <v>未建檔</v>
      </c>
      <c r="E1558" s="3" t="str">
        <f>T("新疆青少年")</f>
        <v>新疆青少年</v>
      </c>
      <c r="F1558" s="3">
        <v>8</v>
      </c>
      <c r="G1558" s="3">
        <v>48</v>
      </c>
    </row>
    <row r="1559" spans="1:7" ht="14.25">
      <c r="A1559" s="3" t="str">
        <f>T("55150473")</f>
        <v>55150473</v>
      </c>
      <c r="B1559" s="14" t="s">
        <v>6742</v>
      </c>
      <c r="C1559" s="3" t="s">
        <v>1562</v>
      </c>
      <c r="D1559" s="3" t="str">
        <f>T("未建檔")</f>
        <v>未建檔</v>
      </c>
      <c r="E1559" s="3" t="str">
        <f>T("新疆青少年")</f>
        <v>新疆青少年</v>
      </c>
      <c r="F1559" s="3">
        <v>8</v>
      </c>
      <c r="G1559" s="3">
        <v>48</v>
      </c>
    </row>
    <row r="1560" spans="1:7" ht="14.25">
      <c r="A1560" s="3" t="str">
        <f>T("55150474")</f>
        <v>55150474</v>
      </c>
      <c r="B1560" s="14" t="s">
        <v>6744</v>
      </c>
      <c r="C1560" s="3" t="s">
        <v>1563</v>
      </c>
      <c r="D1560" s="3" t="str">
        <f>T("未建檔")</f>
        <v>未建檔</v>
      </c>
      <c r="E1560" s="3" t="str">
        <f>T("新疆青少年")</f>
        <v>新疆青少年</v>
      </c>
      <c r="F1560" s="3">
        <v>8</v>
      </c>
      <c r="G1560" s="3">
        <v>48</v>
      </c>
    </row>
    <row r="1561" spans="1:7" ht="14.25">
      <c r="A1561" s="3" t="str">
        <f>T("55150476")</f>
        <v>55150476</v>
      </c>
      <c r="B1561" s="14" t="s">
        <v>6746</v>
      </c>
      <c r="C1561" s="3" t="s">
        <v>1564</v>
      </c>
      <c r="D1561" s="3" t="str">
        <f>T("未建檔")</f>
        <v>未建檔</v>
      </c>
      <c r="E1561" s="3" t="str">
        <f>T("新疆青少年")</f>
        <v>新疆青少年</v>
      </c>
      <c r="F1561" s="3">
        <v>8</v>
      </c>
      <c r="G1561" s="3">
        <v>48</v>
      </c>
    </row>
    <row r="1562" spans="1:7" ht="14.25">
      <c r="A1562" s="3" t="str">
        <f>T("55150477")</f>
        <v>55150477</v>
      </c>
      <c r="B1562" s="14" t="s">
        <v>6748</v>
      </c>
      <c r="C1562" s="3" t="s">
        <v>1565</v>
      </c>
      <c r="D1562" s="3" t="str">
        <f>T("未建檔")</f>
        <v>未建檔</v>
      </c>
      <c r="E1562" s="3" t="str">
        <f>T("新疆青少年")</f>
        <v>新疆青少年</v>
      </c>
      <c r="F1562" s="3">
        <v>8</v>
      </c>
      <c r="G1562" s="3">
        <v>48</v>
      </c>
    </row>
    <row r="1563" spans="1:7" ht="14.25">
      <c r="A1563" s="3" t="str">
        <f>T("55150478")</f>
        <v>55150478</v>
      </c>
      <c r="B1563" s="14" t="s">
        <v>6750</v>
      </c>
      <c r="C1563" s="3" t="s">
        <v>1566</v>
      </c>
      <c r="D1563" s="3" t="str">
        <f>T("未建檔")</f>
        <v>未建檔</v>
      </c>
      <c r="E1563" s="3" t="str">
        <f>T("新疆青少年")</f>
        <v>新疆青少年</v>
      </c>
      <c r="F1563" s="3">
        <v>8</v>
      </c>
      <c r="G1563" s="3">
        <v>48</v>
      </c>
    </row>
    <row r="1564" spans="1:7" ht="14.25">
      <c r="A1564" s="3" t="str">
        <f>T("55150479")</f>
        <v>55150479</v>
      </c>
      <c r="B1564" s="14" t="s">
        <v>6752</v>
      </c>
      <c r="C1564" s="3" t="s">
        <v>1567</v>
      </c>
      <c r="D1564" s="3" t="str">
        <f>T("未建檔")</f>
        <v>未建檔</v>
      </c>
      <c r="E1564" s="3" t="str">
        <f>T("新疆青少年")</f>
        <v>新疆青少年</v>
      </c>
      <c r="F1564" s="3">
        <v>8</v>
      </c>
      <c r="G1564" s="3">
        <v>48</v>
      </c>
    </row>
    <row r="1565" spans="1:7" ht="14.25">
      <c r="A1565" s="3" t="str">
        <f>T("55150480")</f>
        <v>55150480</v>
      </c>
      <c r="B1565" s="14" t="s">
        <v>6754</v>
      </c>
      <c r="C1565" s="3" t="s">
        <v>1568</v>
      </c>
      <c r="D1565" s="3" t="str">
        <f>T("未建檔")</f>
        <v>未建檔</v>
      </c>
      <c r="E1565" s="3" t="str">
        <f>T("新疆青少年")</f>
        <v>新疆青少年</v>
      </c>
      <c r="F1565" s="3">
        <v>8</v>
      </c>
      <c r="G1565" s="3">
        <v>48</v>
      </c>
    </row>
    <row r="1566" spans="1:7" ht="14.25">
      <c r="A1566" s="3" t="str">
        <f>T("55150481")</f>
        <v>55150481</v>
      </c>
      <c r="B1566" s="14" t="s">
        <v>6756</v>
      </c>
      <c r="C1566" s="3" t="s">
        <v>1569</v>
      </c>
      <c r="D1566" s="3" t="str">
        <f>T("未建檔")</f>
        <v>未建檔</v>
      </c>
      <c r="E1566" s="3" t="str">
        <f>T("新疆青少年")</f>
        <v>新疆青少年</v>
      </c>
      <c r="F1566" s="3">
        <v>8</v>
      </c>
      <c r="G1566" s="3">
        <v>48</v>
      </c>
    </row>
    <row r="1567" spans="1:7" ht="14.25">
      <c r="A1567" s="3" t="str">
        <f>T("55150482")</f>
        <v>55150482</v>
      </c>
      <c r="B1567" s="14" t="s">
        <v>6758</v>
      </c>
      <c r="C1567" s="3" t="s">
        <v>1570</v>
      </c>
      <c r="D1567" s="3" t="str">
        <f>T("未建檔")</f>
        <v>未建檔</v>
      </c>
      <c r="E1567" s="3" t="str">
        <f>T("新疆青少年")</f>
        <v>新疆青少年</v>
      </c>
      <c r="F1567" s="3">
        <v>8</v>
      </c>
      <c r="G1567" s="3">
        <v>48</v>
      </c>
    </row>
    <row r="1568" spans="1:7" ht="14.25">
      <c r="A1568" s="3" t="str">
        <f>T("55150483")</f>
        <v>55150483</v>
      </c>
      <c r="B1568" s="14" t="s">
        <v>6760</v>
      </c>
      <c r="C1568" s="3" t="s">
        <v>1571</v>
      </c>
      <c r="D1568" s="3" t="str">
        <f>T("未建檔")</f>
        <v>未建檔</v>
      </c>
      <c r="E1568" s="3" t="str">
        <f>T("新疆青少年")</f>
        <v>新疆青少年</v>
      </c>
      <c r="F1568" s="3">
        <v>8</v>
      </c>
      <c r="G1568" s="3">
        <v>48</v>
      </c>
    </row>
    <row r="1569" spans="1:7" ht="14.25">
      <c r="A1569" s="3" t="str">
        <f>T("55150484")</f>
        <v>55150484</v>
      </c>
      <c r="B1569" s="14" t="s">
        <v>6762</v>
      </c>
      <c r="C1569" s="3" t="s">
        <v>1572</v>
      </c>
      <c r="D1569" s="3" t="str">
        <f>T("未建檔")</f>
        <v>未建檔</v>
      </c>
      <c r="E1569" s="3" t="str">
        <f>T("新疆青少年")</f>
        <v>新疆青少年</v>
      </c>
      <c r="F1569" s="3">
        <v>8</v>
      </c>
      <c r="G1569" s="3">
        <v>48</v>
      </c>
    </row>
    <row r="1570" spans="1:7" ht="14.25">
      <c r="A1570" s="3" t="str">
        <f>T("55150486")</f>
        <v>55150486</v>
      </c>
      <c r="B1570" s="14" t="s">
        <v>6764</v>
      </c>
      <c r="C1570" s="3" t="s">
        <v>1573</v>
      </c>
      <c r="D1570" s="3" t="str">
        <f>T("未建檔")</f>
        <v>未建檔</v>
      </c>
      <c r="E1570" s="3" t="str">
        <f>T("新疆青少年")</f>
        <v>新疆青少年</v>
      </c>
      <c r="F1570" s="3">
        <v>8</v>
      </c>
      <c r="G1570" s="3">
        <v>48</v>
      </c>
    </row>
    <row r="1571" spans="1:7" ht="14.25">
      <c r="A1571" s="3" t="str">
        <f>T("55150487")</f>
        <v>55150487</v>
      </c>
      <c r="B1571" s="14" t="s">
        <v>6766</v>
      </c>
      <c r="C1571" s="3" t="s">
        <v>1574</v>
      </c>
      <c r="D1571" s="3" t="str">
        <f>T("未建檔")</f>
        <v>未建檔</v>
      </c>
      <c r="E1571" s="3" t="str">
        <f>T("新疆青少年")</f>
        <v>新疆青少年</v>
      </c>
      <c r="F1571" s="3">
        <v>8</v>
      </c>
      <c r="G1571" s="3">
        <v>48</v>
      </c>
    </row>
    <row r="1572" spans="1:7" ht="14.25">
      <c r="A1572" s="3" t="str">
        <f>T("55150488")</f>
        <v>55150488</v>
      </c>
      <c r="B1572" s="14" t="s">
        <v>6768</v>
      </c>
      <c r="C1572" s="3" t="s">
        <v>1575</v>
      </c>
      <c r="D1572" s="3" t="str">
        <f>T("未建檔")</f>
        <v>未建檔</v>
      </c>
      <c r="E1572" s="3" t="str">
        <f>T("新疆青少年")</f>
        <v>新疆青少年</v>
      </c>
      <c r="F1572" s="3">
        <v>8</v>
      </c>
      <c r="G1572" s="3">
        <v>48</v>
      </c>
    </row>
    <row r="1573" spans="1:7" ht="14.25">
      <c r="A1573" s="3" t="str">
        <f>T("55150490")</f>
        <v>55150490</v>
      </c>
      <c r="B1573" s="14" t="s">
        <v>6770</v>
      </c>
      <c r="C1573" s="3" t="s">
        <v>1576</v>
      </c>
      <c r="D1573" s="3" t="str">
        <f>T("未建檔")</f>
        <v>未建檔</v>
      </c>
      <c r="E1573" s="3" t="str">
        <f>T("新疆青少年")</f>
        <v>新疆青少年</v>
      </c>
      <c r="F1573" s="3">
        <v>8</v>
      </c>
      <c r="G1573" s="3">
        <v>48</v>
      </c>
    </row>
    <row r="1574" spans="1:7" ht="14.25">
      <c r="A1574" s="3" t="str">
        <f>T("55150491")</f>
        <v>55150491</v>
      </c>
      <c r="B1574" s="14" t="s">
        <v>6772</v>
      </c>
      <c r="C1574" s="3" t="s">
        <v>1577</v>
      </c>
      <c r="D1574" s="3" t="str">
        <f>T("未建檔")</f>
        <v>未建檔</v>
      </c>
      <c r="E1574" s="3" t="str">
        <f>T("新疆青少年")</f>
        <v>新疆青少年</v>
      </c>
      <c r="F1574" s="3">
        <v>8</v>
      </c>
      <c r="G1574" s="3">
        <v>48</v>
      </c>
    </row>
    <row r="1575" spans="1:7" ht="14.25">
      <c r="A1575" s="3" t="str">
        <f>T("55150492")</f>
        <v>55150492</v>
      </c>
      <c r="B1575" s="14" t="s">
        <v>6774</v>
      </c>
      <c r="C1575" s="3" t="s">
        <v>1578</v>
      </c>
      <c r="D1575" s="3" t="str">
        <f>T("未建檔")</f>
        <v>未建檔</v>
      </c>
      <c r="E1575" s="3" t="str">
        <f>T("新疆青少年")</f>
        <v>新疆青少年</v>
      </c>
      <c r="F1575" s="3">
        <v>8</v>
      </c>
      <c r="G1575" s="3">
        <v>48</v>
      </c>
    </row>
    <row r="1576" spans="1:7" ht="14.25">
      <c r="A1576" s="3" t="str">
        <f>T("55150493")</f>
        <v>55150493</v>
      </c>
      <c r="B1576" s="14" t="s">
        <v>6776</v>
      </c>
      <c r="C1576" s="3" t="s">
        <v>1579</v>
      </c>
      <c r="D1576" s="3" t="str">
        <f>T("未建檔")</f>
        <v>未建檔</v>
      </c>
      <c r="E1576" s="3" t="str">
        <f>T("新疆青少年")</f>
        <v>新疆青少年</v>
      </c>
      <c r="F1576" s="3">
        <v>8</v>
      </c>
      <c r="G1576" s="3">
        <v>48</v>
      </c>
    </row>
    <row r="1577" spans="1:7" ht="14.25">
      <c r="A1577" s="3" t="str">
        <f>T("55150651")</f>
        <v>55150651</v>
      </c>
      <c r="B1577" s="14" t="s">
        <v>6778</v>
      </c>
      <c r="C1577" s="3" t="s">
        <v>1580</v>
      </c>
      <c r="D1577" s="3" t="str">
        <f>T("未建檔")</f>
        <v>未建檔</v>
      </c>
      <c r="E1577" s="3" t="str">
        <f>T("新疆青少年")</f>
        <v>新疆青少年</v>
      </c>
      <c r="F1577" s="3">
        <v>19.8</v>
      </c>
      <c r="G1577" s="3">
        <v>119</v>
      </c>
    </row>
    <row r="1578" spans="1:7" ht="14.25">
      <c r="A1578" s="3" t="str">
        <f>T("55150863")</f>
        <v>55150863</v>
      </c>
      <c r="B1578" s="14" t="s">
        <v>6780</v>
      </c>
      <c r="C1578" s="3" t="s">
        <v>1581</v>
      </c>
      <c r="D1578" s="3" t="str">
        <f>T("未建檔")</f>
        <v>未建檔</v>
      </c>
      <c r="E1578" s="3" t="str">
        <f>T("新疆青少年")</f>
        <v>新疆青少年</v>
      </c>
      <c r="F1578" s="3">
        <v>36</v>
      </c>
      <c r="G1578" s="3">
        <v>216</v>
      </c>
    </row>
    <row r="1579" spans="1:7" ht="14.25">
      <c r="A1579" s="3" t="str">
        <f>T("55151059")</f>
        <v>55151059</v>
      </c>
      <c r="B1579" s="14" t="s">
        <v>6782</v>
      </c>
      <c r="C1579" s="3" t="s">
        <v>1582</v>
      </c>
      <c r="D1579" s="3" t="str">
        <f>T("未建檔")</f>
        <v>未建檔</v>
      </c>
      <c r="E1579" s="3" t="str">
        <f>T("新疆青少年")</f>
        <v>新疆青少年</v>
      </c>
      <c r="F1579" s="3">
        <v>12</v>
      </c>
      <c r="G1579" s="3">
        <v>72</v>
      </c>
    </row>
    <row r="1580" spans="1:7" ht="14.25">
      <c r="A1580" s="3" t="str">
        <f>T("55151649")</f>
        <v>55151649</v>
      </c>
      <c r="B1580" s="14" t="s">
        <v>6784</v>
      </c>
      <c r="C1580" s="3" t="s">
        <v>1583</v>
      </c>
      <c r="D1580" s="3" t="str">
        <f>T("未建檔")</f>
        <v>未建檔</v>
      </c>
      <c r="E1580" s="3" t="str">
        <f>T("新疆青少年")</f>
        <v>新疆青少年</v>
      </c>
      <c r="F1580" s="3">
        <v>32</v>
      </c>
      <c r="G1580" s="3">
        <v>192</v>
      </c>
    </row>
    <row r="1581" spans="1:7" ht="14.25">
      <c r="A1581" s="3" t="str">
        <f>T("55151650")</f>
        <v>55151650</v>
      </c>
      <c r="B1581" s="14" t="s">
        <v>6786</v>
      </c>
      <c r="C1581" s="3" t="s">
        <v>1584</v>
      </c>
      <c r="D1581" s="3" t="str">
        <f>T("未建檔")</f>
        <v>未建檔</v>
      </c>
      <c r="E1581" s="3" t="str">
        <f>T("新疆青少年")</f>
        <v>新疆青少年</v>
      </c>
      <c r="F1581" s="3">
        <v>17.8</v>
      </c>
      <c r="G1581" s="3">
        <v>107</v>
      </c>
    </row>
    <row r="1582" spans="1:7" ht="14.25">
      <c r="A1582" s="3" t="str">
        <f>T("55151708")</f>
        <v>55151708</v>
      </c>
      <c r="B1582" s="14" t="s">
        <v>6788</v>
      </c>
      <c r="C1582" s="3" t="s">
        <v>1585</v>
      </c>
      <c r="D1582" s="3" t="str">
        <f>T("未建檔")</f>
        <v>未建檔</v>
      </c>
      <c r="E1582" s="3" t="str">
        <f>T("新疆青少年")</f>
        <v>新疆青少年</v>
      </c>
      <c r="F1582" s="3">
        <v>16</v>
      </c>
      <c r="G1582" s="3">
        <v>96</v>
      </c>
    </row>
    <row r="1583" spans="1:7" ht="14.25">
      <c r="A1583" s="3" t="str">
        <f>T("55151710")</f>
        <v>55151710</v>
      </c>
      <c r="B1583" s="14" t="s">
        <v>6790</v>
      </c>
      <c r="C1583" s="3" t="s">
        <v>1586</v>
      </c>
      <c r="D1583" s="3" t="str">
        <f>T("未建檔")</f>
        <v>未建檔</v>
      </c>
      <c r="E1583" s="3" t="str">
        <f>T("新疆青少年")</f>
        <v>新疆青少年</v>
      </c>
      <c r="F1583" s="3">
        <v>16</v>
      </c>
      <c r="G1583" s="3">
        <v>96</v>
      </c>
    </row>
    <row r="1584" spans="1:7" ht="14.25">
      <c r="A1584" s="3" t="str">
        <f>T("55151712")</f>
        <v>55151712</v>
      </c>
      <c r="B1584" s="14" t="s">
        <v>6792</v>
      </c>
      <c r="C1584" s="3" t="s">
        <v>1587</v>
      </c>
      <c r="D1584" s="3" t="str">
        <f>T("未建檔")</f>
        <v>未建檔</v>
      </c>
      <c r="E1584" s="3" t="str">
        <f>T("新疆青少年")</f>
        <v>新疆青少年</v>
      </c>
      <c r="F1584" s="3">
        <v>35</v>
      </c>
      <c r="G1584" s="3">
        <v>210</v>
      </c>
    </row>
    <row r="1585" spans="1:7" ht="14.25">
      <c r="A1585" s="3" t="str">
        <f>T("55152041")</f>
        <v>55152041</v>
      </c>
      <c r="B1585" s="14" t="s">
        <v>6794</v>
      </c>
      <c r="C1585" s="3" t="s">
        <v>1588</v>
      </c>
      <c r="D1585" s="3" t="str">
        <f>T("未建檔")</f>
        <v>未建檔</v>
      </c>
      <c r="E1585" s="3" t="str">
        <f>T("新疆青少年")</f>
        <v>新疆青少年</v>
      </c>
      <c r="F1585" s="3">
        <v>34</v>
      </c>
      <c r="G1585" s="3">
        <v>204</v>
      </c>
    </row>
    <row r="1586" spans="1:7" ht="14.25">
      <c r="A1586" s="3" t="str">
        <f>T("55160055")</f>
        <v>55160055</v>
      </c>
      <c r="B1586" s="14" t="s">
        <v>6796</v>
      </c>
      <c r="C1586" s="3" t="s">
        <v>1589</v>
      </c>
      <c r="D1586" s="3" t="str">
        <f>T("山東省人民政府新聞辦公室")</f>
        <v>山東省人民政府新聞辦公室</v>
      </c>
      <c r="E1586" s="3" t="str">
        <f>T("山東友誼")</f>
        <v>山東友誼</v>
      </c>
      <c r="F1586" s="3">
        <v>118</v>
      </c>
      <c r="G1586" s="3">
        <v>708</v>
      </c>
    </row>
    <row r="1587" spans="1:7" ht="14.25">
      <c r="A1587" s="3" t="str">
        <f>T("56006723")</f>
        <v>56006723</v>
      </c>
      <c r="B1587" s="14" t="s">
        <v>6800</v>
      </c>
      <c r="C1587" s="3" t="s">
        <v>1590</v>
      </c>
      <c r="D1587" s="3" t="str">
        <f>T("魯賓遜")</f>
        <v>魯賓遜</v>
      </c>
      <c r="E1587" s="3" t="str">
        <f>T("外語教研")</f>
        <v>外語教研</v>
      </c>
      <c r="F1587" s="3">
        <v>26</v>
      </c>
      <c r="G1587" s="3">
        <v>156</v>
      </c>
    </row>
    <row r="1588" spans="1:7" ht="14.25">
      <c r="A1588" s="3" t="str">
        <f>T("56014850")</f>
        <v>56014850</v>
      </c>
      <c r="B1588" s="14" t="s">
        <v>6804</v>
      </c>
      <c r="C1588" s="3" t="s">
        <v>1591</v>
      </c>
      <c r="D1588" s="3" t="str">
        <f>T("吳良寶. 著")</f>
        <v>吳良寶. 著</v>
      </c>
      <c r="E1588" s="3" t="str">
        <f>T("武漢大學")</f>
        <v>武漢大學</v>
      </c>
      <c r="F1588" s="3">
        <v>29.8</v>
      </c>
      <c r="G1588" s="3">
        <v>179</v>
      </c>
    </row>
    <row r="1589" spans="1:7" ht="14.25">
      <c r="A1589" s="3" t="str">
        <f>T("56014968")</f>
        <v>56014968</v>
      </c>
      <c r="B1589" s="14" t="s">
        <v>6811</v>
      </c>
      <c r="C1589" s="3" t="s">
        <v>1592</v>
      </c>
      <c r="D1589" s="3" t="str">
        <f>T("張晨光")</f>
        <v>張晨光</v>
      </c>
      <c r="E1589" s="3" t="str">
        <f>T("吉林大學")</f>
        <v>吉林大學</v>
      </c>
      <c r="F1589" s="3">
        <v>15</v>
      </c>
      <c r="G1589" s="3">
        <v>90</v>
      </c>
    </row>
    <row r="1590" spans="1:7" ht="14.25">
      <c r="A1590" s="3" t="str">
        <f>T("56015108")</f>
        <v>56015108</v>
      </c>
      <c r="B1590" s="14" t="s">
        <v>6815</v>
      </c>
      <c r="C1590" s="3" t="s">
        <v>1593</v>
      </c>
      <c r="D1590" s="3" t="str">
        <f>T("何國松")</f>
        <v>何國松</v>
      </c>
      <c r="E1590" s="3" t="str">
        <f>T("吉林大學")</f>
        <v>吉林大學</v>
      </c>
      <c r="F1590" s="3">
        <v>39</v>
      </c>
      <c r="G1590" s="3">
        <v>234</v>
      </c>
    </row>
    <row r="1591" spans="1:7" ht="14.25">
      <c r="A1591" s="3" t="str">
        <f>T("56015371")</f>
        <v>56015371</v>
      </c>
      <c r="B1591" s="14" t="s">
        <v>6818</v>
      </c>
      <c r="C1591" s="3" t="s">
        <v>1594</v>
      </c>
      <c r="D1591" s="3" t="str">
        <f>T("金德喜")</f>
        <v>金德喜</v>
      </c>
      <c r="E1591" s="3" t="str">
        <f>T("吉林大學")</f>
        <v>吉林大學</v>
      </c>
      <c r="F1591" s="3">
        <v>25</v>
      </c>
      <c r="G1591" s="3">
        <v>150</v>
      </c>
    </row>
    <row r="1592" spans="1:7" ht="14.25">
      <c r="A1592" s="3" t="str">
        <f>T("56015605")</f>
        <v>56015605</v>
      </c>
      <c r="B1592" s="14" t="s">
        <v>6821</v>
      </c>
      <c r="C1592" s="3" t="s">
        <v>1595</v>
      </c>
      <c r="D1592" s="3" t="str">
        <f>T("季景書")</f>
        <v>季景書</v>
      </c>
      <c r="E1592" s="3" t="str">
        <f>T("吉林大學")</f>
        <v>吉林大學</v>
      </c>
      <c r="F1592" s="3">
        <v>18</v>
      </c>
      <c r="G1592" s="3">
        <v>108</v>
      </c>
    </row>
    <row r="1593" spans="1:7" ht="14.25">
      <c r="A1593" s="3" t="str">
        <f>T("56053380")</f>
        <v>56053380</v>
      </c>
      <c r="B1593" s="14" t="s">
        <v>6824</v>
      </c>
      <c r="C1593" s="3" t="s">
        <v>1596</v>
      </c>
      <c r="D1593" s="3" t="str">
        <f>T("流珠著")</f>
        <v>流珠著</v>
      </c>
      <c r="E1593" s="3" t="str">
        <f>T("西安交大")</f>
        <v>西安交大</v>
      </c>
      <c r="F1593" s="3">
        <v>29</v>
      </c>
      <c r="G1593" s="3">
        <v>174</v>
      </c>
    </row>
    <row r="1594" spans="1:7" ht="14.25">
      <c r="A1594" s="3" t="str">
        <f>T("56053416")</f>
        <v>56053416</v>
      </c>
      <c r="B1594" s="14" t="s">
        <v>6828</v>
      </c>
      <c r="C1594" s="3" t="s">
        <v>1597</v>
      </c>
      <c r="D1594" s="3" t="str">
        <f>T("宗承灝. 編著")</f>
        <v>宗承灝. 編著</v>
      </c>
      <c r="E1594" s="3" t="str">
        <f>T("西安交大")</f>
        <v>西安交大</v>
      </c>
      <c r="F1594" s="3">
        <v>29.8</v>
      </c>
      <c r="G1594" s="3">
        <v>179</v>
      </c>
    </row>
    <row r="1595" spans="1:7" ht="14.25">
      <c r="A1595" s="3" t="str">
        <f>T("56071493")</f>
        <v>56071493</v>
      </c>
      <c r="B1595" s="14" t="s">
        <v>6831</v>
      </c>
      <c r="C1595" s="3" t="s">
        <v>1598</v>
      </c>
      <c r="D1595" s="3" t="str">
        <f>T("田昌五著")</f>
        <v>田昌五著</v>
      </c>
      <c r="E1595" s="3" t="str">
        <f>T("山東大學")</f>
        <v>山東大學</v>
      </c>
      <c r="F1595" s="3">
        <v>58</v>
      </c>
      <c r="G1595" s="3">
        <v>348</v>
      </c>
    </row>
    <row r="1596" spans="1:7" ht="14.25">
      <c r="A1596" s="3" t="str">
        <f>T("56072213")</f>
        <v>56072213</v>
      </c>
      <c r="B1596" s="14" t="s">
        <v>6835</v>
      </c>
      <c r="C1596" s="3" t="s">
        <v>1599</v>
      </c>
      <c r="D1596" s="3" t="str">
        <f>T("張可禮編著")</f>
        <v>張可禮編著</v>
      </c>
      <c r="E1596" s="3" t="str">
        <f>T("山東大學")</f>
        <v>山東大學</v>
      </c>
      <c r="F1596" s="3">
        <v>37</v>
      </c>
      <c r="G1596" s="3">
        <v>222</v>
      </c>
    </row>
    <row r="1597" spans="1:7" ht="14.25">
      <c r="A1597" s="3" t="str">
        <f>T("56083204")</f>
        <v>56083204</v>
      </c>
      <c r="B1597" s="14" t="s">
        <v>6838</v>
      </c>
      <c r="C1597" s="3" t="s">
        <v>1600</v>
      </c>
      <c r="D1597" s="3">
        <f>T("")</f>
      </c>
      <c r="E1597" s="3" t="str">
        <f>T("同濟大學")</f>
        <v>同濟大學</v>
      </c>
      <c r="F1597" s="3">
        <v>268</v>
      </c>
      <c r="G1597" s="3">
        <v>1608</v>
      </c>
    </row>
    <row r="1598" spans="1:7" ht="14.25">
      <c r="A1598" s="3" t="str">
        <f>T("56094499")</f>
        <v>56094499</v>
      </c>
      <c r="B1598" s="14" t="s">
        <v>6841</v>
      </c>
      <c r="C1598" s="3" t="s">
        <v>1120</v>
      </c>
      <c r="D1598" s="3" t="str">
        <f>T("張君麗")</f>
        <v>張君麗</v>
      </c>
      <c r="E1598" s="3" t="str">
        <f>T("華中科技")</f>
        <v>華中科技</v>
      </c>
      <c r="F1598" s="3">
        <v>36</v>
      </c>
      <c r="G1598" s="3">
        <v>216</v>
      </c>
    </row>
    <row r="1599" spans="1:7" ht="14.25">
      <c r="A1599" s="3" t="str">
        <f>T("56096830")</f>
        <v>56096830</v>
      </c>
      <c r="B1599" s="14" t="s">
        <v>6845</v>
      </c>
      <c r="C1599" s="3" t="s">
        <v>1601</v>
      </c>
      <c r="D1599" s="3" t="str">
        <f>T("蘭曉麗")</f>
        <v>蘭曉麗</v>
      </c>
      <c r="E1599" s="3" t="str">
        <f>T("華中科技")</f>
        <v>華中科技</v>
      </c>
      <c r="F1599" s="3">
        <v>38</v>
      </c>
      <c r="G1599" s="3">
        <v>228</v>
      </c>
    </row>
    <row r="1600" spans="1:7" ht="14.25">
      <c r="A1600" s="3" t="str">
        <f>T("56133783")</f>
        <v>56133783</v>
      </c>
      <c r="B1600" s="14" t="s">
        <v>6848</v>
      </c>
      <c r="C1600" s="3" t="s">
        <v>1602</v>
      </c>
      <c r="D1600" s="3" t="str">
        <f>T("史冷金")</f>
        <v>史冷金</v>
      </c>
      <c r="E1600" s="3" t="str">
        <f>T("陝西師大")</f>
        <v>陝西師大</v>
      </c>
      <c r="F1600" s="3">
        <v>29.8</v>
      </c>
      <c r="G1600" s="3">
        <v>179</v>
      </c>
    </row>
    <row r="1601" spans="1:7" ht="14.25">
      <c r="A1601" s="3" t="str">
        <f>T("56134519")</f>
        <v>56134519</v>
      </c>
      <c r="B1601" s="14" t="s">
        <v>6852</v>
      </c>
      <c r="C1601" s="3" t="s">
        <v>1603</v>
      </c>
      <c r="D1601" s="3" t="str">
        <f>T("張雯媛")</f>
        <v>張雯媛</v>
      </c>
      <c r="E1601" s="3" t="str">
        <f>T("陝西師大")</f>
        <v>陝西師大</v>
      </c>
      <c r="F1601" s="3">
        <v>29.8</v>
      </c>
      <c r="G1601" s="3">
        <v>179</v>
      </c>
    </row>
    <row r="1602" spans="1:7" ht="14.25">
      <c r="A1602" s="3" t="str">
        <f>T("56134668")</f>
        <v>56134668</v>
      </c>
      <c r="B1602" s="14" t="s">
        <v>6855</v>
      </c>
      <c r="C1602" s="3" t="s">
        <v>1604</v>
      </c>
      <c r="D1602" s="3" t="str">
        <f>T("鄧廣銘著")</f>
        <v>鄧廣銘著</v>
      </c>
      <c r="E1602" s="3" t="str">
        <f>T("陝西師大")</f>
        <v>陝西師大</v>
      </c>
      <c r="F1602" s="3">
        <v>29.8</v>
      </c>
      <c r="G1602" s="3">
        <v>179</v>
      </c>
    </row>
    <row r="1603" spans="1:7" ht="14.25">
      <c r="A1603" s="3" t="str">
        <f>T("56153046")</f>
        <v>56153046</v>
      </c>
      <c r="B1603" s="14" t="s">
        <v>6858</v>
      </c>
      <c r="C1603" s="3" t="s">
        <v>1605</v>
      </c>
      <c r="D1603" s="3" t="str">
        <f>T("長汀縣城鄉規劃建設局編")</f>
        <v>長汀縣城鄉規劃建設局編</v>
      </c>
      <c r="E1603" s="3" t="str">
        <f>T("廈門大學")</f>
        <v>廈門大學</v>
      </c>
      <c r="F1603" s="3">
        <v>68</v>
      </c>
      <c r="G1603" s="3">
        <v>408</v>
      </c>
    </row>
    <row r="1604" spans="1:7" ht="14.25">
      <c r="A1604" s="3" t="str">
        <f>T("56170207")</f>
        <v>56170207</v>
      </c>
      <c r="B1604" s="14" t="s">
        <v>6866</v>
      </c>
      <c r="C1604" s="3" t="s">
        <v>1606</v>
      </c>
      <c r="D1604" s="3" t="str">
        <f>T("林衍經")</f>
        <v>林衍經</v>
      </c>
      <c r="E1604" s="3" t="str">
        <f>T("華東師大")</f>
        <v>華東師大</v>
      </c>
      <c r="F1604" s="3">
        <v>28</v>
      </c>
      <c r="G1604" s="3">
        <v>168</v>
      </c>
    </row>
    <row r="1605" spans="1:7" ht="14.25">
      <c r="A1605" s="3" t="str">
        <f>T("56171613")</f>
        <v>56171613</v>
      </c>
      <c r="B1605" s="14" t="s">
        <v>6870</v>
      </c>
      <c r="C1605" s="3" t="s">
        <v>1607</v>
      </c>
      <c r="D1605" s="3" t="str">
        <f>T("林艾園")</f>
        <v>林艾園</v>
      </c>
      <c r="E1605" s="3" t="str">
        <f>T("華東師大")</f>
        <v>華東師大</v>
      </c>
      <c r="F1605" s="3">
        <v>28</v>
      </c>
      <c r="G1605" s="3">
        <v>168</v>
      </c>
    </row>
    <row r="1606" spans="1:7" ht="14.25">
      <c r="A1606" s="3" t="str">
        <f>T("56172042")</f>
        <v>56172042</v>
      </c>
      <c r="B1606" s="14" t="s">
        <v>6873</v>
      </c>
      <c r="C1606" s="3" t="s">
        <v>1608</v>
      </c>
      <c r="D1606" s="3" t="str">
        <f>T("王亞樸")</f>
        <v>王亞樸</v>
      </c>
      <c r="E1606" s="3" t="str">
        <f>T("華東師大")</f>
        <v>華東師大</v>
      </c>
      <c r="F1606" s="3">
        <v>25</v>
      </c>
      <c r="G1606" s="3">
        <v>150</v>
      </c>
    </row>
    <row r="1607" spans="1:7" ht="14.25">
      <c r="A1607" s="3" t="str">
        <f>T("56172331")</f>
        <v>56172331</v>
      </c>
      <c r="B1607" s="14" t="s">
        <v>6876</v>
      </c>
      <c r="C1607" s="3" t="s">
        <v>1609</v>
      </c>
      <c r="D1607" s="3" t="str">
        <f>T("戴逸如")</f>
        <v>戴逸如</v>
      </c>
      <c r="E1607" s="3" t="str">
        <f>T("華東師大")</f>
        <v>華東師大</v>
      </c>
      <c r="F1607" s="3">
        <v>20</v>
      </c>
      <c r="G1607" s="3">
        <v>120</v>
      </c>
    </row>
    <row r="1608" spans="1:7" ht="14.25">
      <c r="A1608" s="3" t="str">
        <f>T("56174339")</f>
        <v>56174339</v>
      </c>
      <c r="B1608" s="14" t="s">
        <v>6879</v>
      </c>
      <c r="C1608" s="3" t="s">
        <v>1610</v>
      </c>
      <c r="D1608" s="3" t="str">
        <f>T("黃雪媛")</f>
        <v>黃雪媛</v>
      </c>
      <c r="E1608" s="3" t="str">
        <f>T("華東師大")</f>
        <v>華東師大</v>
      </c>
      <c r="F1608" s="3">
        <v>35</v>
      </c>
      <c r="G1608" s="3">
        <v>210</v>
      </c>
    </row>
    <row r="1609" spans="1:7" ht="14.25">
      <c r="A1609" s="3" t="str">
        <f>T("56174364")</f>
        <v>56174364</v>
      </c>
      <c r="B1609" s="14" t="s">
        <v>6882</v>
      </c>
      <c r="C1609" s="3" t="s">
        <v>1611</v>
      </c>
      <c r="D1609" s="3" t="str">
        <f>T("王兆勝")</f>
        <v>王兆勝</v>
      </c>
      <c r="E1609" s="3" t="str">
        <f>T("華東師大")</f>
        <v>華東師大</v>
      </c>
      <c r="F1609" s="3">
        <v>19.8</v>
      </c>
      <c r="G1609" s="3">
        <v>119</v>
      </c>
    </row>
    <row r="1610" spans="1:7" ht="14.25">
      <c r="A1610" s="3" t="str">
        <f>T("56174520")</f>
        <v>56174520</v>
      </c>
      <c r="B1610" s="14" t="s">
        <v>6885</v>
      </c>
      <c r="C1610" s="3" t="s">
        <v>1612</v>
      </c>
      <c r="D1610" s="3" t="str">
        <f>T("達爾伯格")</f>
        <v>達爾伯格</v>
      </c>
      <c r="E1610" s="3" t="str">
        <f>T("華東師大")</f>
        <v>華東師大</v>
      </c>
      <c r="F1610" s="3">
        <v>26</v>
      </c>
      <c r="G1610" s="3">
        <v>156</v>
      </c>
    </row>
    <row r="1611" spans="1:7" ht="14.25">
      <c r="A1611" s="3" t="str">
        <f>T("56174521")</f>
        <v>56174521</v>
      </c>
      <c r="B1611" s="14" t="s">
        <v>6888</v>
      </c>
      <c r="C1611" s="3" t="s">
        <v>1613</v>
      </c>
      <c r="D1611" s="3" t="str">
        <f>T("本納")</f>
        <v>本納</v>
      </c>
      <c r="E1611" s="3" t="str">
        <f>T("華東師大")</f>
        <v>華東師大</v>
      </c>
      <c r="F1611" s="3">
        <v>32</v>
      </c>
      <c r="G1611" s="3">
        <v>192</v>
      </c>
    </row>
    <row r="1612" spans="1:7" ht="14.25">
      <c r="A1612" s="3" t="str">
        <f>T("56174536")</f>
        <v>56174536</v>
      </c>
      <c r="B1612" s="14" t="s">
        <v>6891</v>
      </c>
      <c r="C1612" s="3" t="s">
        <v>1614</v>
      </c>
      <c r="D1612" s="3" t="str">
        <f>T("楊小華")</f>
        <v>楊小華</v>
      </c>
      <c r="E1612" s="3" t="str">
        <f>T("華東師大")</f>
        <v>華東師大</v>
      </c>
      <c r="F1612" s="3">
        <v>21</v>
      </c>
      <c r="G1612" s="3">
        <v>126</v>
      </c>
    </row>
    <row r="1613" spans="1:7" ht="14.25">
      <c r="A1613" s="3" t="str">
        <f>T("56174545")</f>
        <v>56174545</v>
      </c>
      <c r="B1613" s="14" t="s">
        <v>6894</v>
      </c>
      <c r="C1613" s="3" t="s">
        <v>1615</v>
      </c>
      <c r="D1613" s="3" t="str">
        <f>T("瞿葆奎")</f>
        <v>瞿葆奎</v>
      </c>
      <c r="E1613" s="3" t="str">
        <f>T("華東師大")</f>
        <v>華東師大</v>
      </c>
      <c r="F1613" s="3">
        <v>42</v>
      </c>
      <c r="G1613" s="3">
        <v>252</v>
      </c>
    </row>
    <row r="1614" spans="1:7" ht="14.25">
      <c r="A1614" s="3" t="str">
        <f>T("56174546")</f>
        <v>56174546</v>
      </c>
      <c r="B1614" s="14" t="s">
        <v>6897</v>
      </c>
      <c r="C1614" s="3" t="s">
        <v>1616</v>
      </c>
      <c r="D1614" s="3" t="str">
        <f>T("謝安邦")</f>
        <v>謝安邦</v>
      </c>
      <c r="E1614" s="3" t="str">
        <f>T("華東師大")</f>
        <v>華東師大</v>
      </c>
      <c r="F1614" s="3">
        <v>37</v>
      </c>
      <c r="G1614" s="3">
        <v>222</v>
      </c>
    </row>
    <row r="1615" spans="1:7" ht="14.25">
      <c r="A1615" s="3" t="str">
        <f>T("56174553")</f>
        <v>56174553</v>
      </c>
      <c r="B1615" s="14" t="s">
        <v>6900</v>
      </c>
      <c r="C1615" s="3" t="s">
        <v>1617</v>
      </c>
      <c r="D1615" s="3" t="str">
        <f>T("邁爾斯")</f>
        <v>邁爾斯</v>
      </c>
      <c r="E1615" s="3" t="str">
        <f>T("華東師大")</f>
        <v>華東師大</v>
      </c>
      <c r="F1615" s="3">
        <v>80</v>
      </c>
      <c r="G1615" s="3">
        <v>480</v>
      </c>
    </row>
    <row r="1616" spans="1:7" ht="14.25">
      <c r="A1616" s="3" t="str">
        <f>T("56174590")</f>
        <v>56174590</v>
      </c>
      <c r="B1616" s="14" t="s">
        <v>6903</v>
      </c>
      <c r="C1616" s="3" t="s">
        <v>1618</v>
      </c>
      <c r="D1616" s="3" t="str">
        <f>T("羅國振")</f>
        <v>羅國振</v>
      </c>
      <c r="E1616" s="3" t="str">
        <f>T("華東師大")</f>
        <v>華東師大</v>
      </c>
      <c r="F1616" s="3">
        <v>37</v>
      </c>
      <c r="G1616" s="3">
        <v>222</v>
      </c>
    </row>
    <row r="1617" spans="1:7" ht="14.25">
      <c r="A1617" s="3" t="str">
        <f>T("56174614")</f>
        <v>56174614</v>
      </c>
      <c r="B1617" s="14" t="s">
        <v>6906</v>
      </c>
      <c r="C1617" s="3" t="s">
        <v>1619</v>
      </c>
      <c r="D1617" s="3" t="str">
        <f>T(".")</f>
        <v>.</v>
      </c>
      <c r="E1617" s="3" t="str">
        <f>T("華東師大")</f>
        <v>華東師大</v>
      </c>
      <c r="F1617" s="3">
        <v>38</v>
      </c>
      <c r="G1617" s="3">
        <v>228</v>
      </c>
    </row>
    <row r="1618" spans="1:7" ht="14.25">
      <c r="A1618" s="3" t="str">
        <f>T("56174816")</f>
        <v>56174816</v>
      </c>
      <c r="B1618" s="14" t="s">
        <v>6908</v>
      </c>
      <c r="C1618" s="3" t="s">
        <v>1620</v>
      </c>
      <c r="D1618" s="3">
        <f>T("")</f>
      </c>
      <c r="E1618" s="3" t="str">
        <f>T("華東師大")</f>
        <v>華東師大</v>
      </c>
      <c r="F1618" s="3">
        <v>32</v>
      </c>
      <c r="G1618" s="3">
        <v>192</v>
      </c>
    </row>
    <row r="1619" spans="1:7" ht="14.25">
      <c r="A1619" s="3" t="str">
        <f>T("56176083")</f>
        <v>56176083</v>
      </c>
      <c r="B1619" s="14" t="s">
        <v>6910</v>
      </c>
      <c r="C1619" s="3" t="s">
        <v>1621</v>
      </c>
      <c r="D1619" s="3" t="str">
        <f>T("(美)大衛斯著")</f>
        <v>(美)大衛斯著</v>
      </c>
      <c r="E1619" s="3" t="str">
        <f>T("華東師大")</f>
        <v>華東師大</v>
      </c>
      <c r="F1619" s="3">
        <v>29.8</v>
      </c>
      <c r="G1619" s="3">
        <v>179</v>
      </c>
    </row>
    <row r="1620" spans="1:7" ht="14.25">
      <c r="A1620" s="3" t="str">
        <f>T("56176109")</f>
        <v>56176109</v>
      </c>
      <c r="B1620" s="14" t="s">
        <v>6913</v>
      </c>
      <c r="C1620" s="3" t="s">
        <v>1622</v>
      </c>
      <c r="D1620" s="3" t="str">
        <f>T("(德)顧彬著")</f>
        <v>(德)顧彬著</v>
      </c>
      <c r="E1620" s="3" t="str">
        <f>T("華東師大")</f>
        <v>華東師大</v>
      </c>
      <c r="F1620" s="3">
        <v>39</v>
      </c>
      <c r="G1620" s="3">
        <v>234</v>
      </c>
    </row>
    <row r="1621" spans="1:7" ht="14.25">
      <c r="A1621" s="3" t="str">
        <f>T("56176372")</f>
        <v>56176372</v>
      </c>
      <c r="B1621" s="14" t="s">
        <v>6916</v>
      </c>
      <c r="C1621" s="3" t="s">
        <v>1623</v>
      </c>
      <c r="D1621" s="3" t="str">
        <f>T("周春健著")</f>
        <v>周春健著</v>
      </c>
      <c r="E1621" s="3" t="str">
        <f>T("華東師大")</f>
        <v>華東師大</v>
      </c>
      <c r="F1621" s="3">
        <v>39.8</v>
      </c>
      <c r="G1621" s="3">
        <v>239</v>
      </c>
    </row>
    <row r="1622" spans="1:7" ht="14.25">
      <c r="A1622" s="3" t="str">
        <f>T("56176442")</f>
        <v>56176442</v>
      </c>
      <c r="B1622" s="14" t="s">
        <v>6919</v>
      </c>
      <c r="C1622" s="3" t="s">
        <v>1624</v>
      </c>
      <c r="D1622" s="3" t="str">
        <f>T("杜素娟著")</f>
        <v>杜素娟著</v>
      </c>
      <c r="E1622" s="3" t="str">
        <f>T("華東師大")</f>
        <v>華東師大</v>
      </c>
      <c r="F1622" s="3">
        <v>32</v>
      </c>
      <c r="G1622" s="3">
        <v>192</v>
      </c>
    </row>
    <row r="1623" spans="1:7" ht="14.25">
      <c r="A1623" s="3" t="str">
        <f>T("56176758")</f>
        <v>56176758</v>
      </c>
      <c r="B1623" s="14" t="s">
        <v>6922</v>
      </c>
      <c r="C1623" s="3" t="s">
        <v>1625</v>
      </c>
      <c r="D1623" s="3" t="str">
        <f>T("徐中玉，郭豫適主編")</f>
        <v>徐中玉，郭豫適主編</v>
      </c>
      <c r="E1623" s="3" t="str">
        <f>T("華東師大")</f>
        <v>華東師大</v>
      </c>
      <c r="F1623" s="3">
        <v>30</v>
      </c>
      <c r="G1623" s="3">
        <v>180</v>
      </c>
    </row>
    <row r="1624" spans="1:7" ht="14.25">
      <c r="A1624" s="3" t="str">
        <f>T("56213092")</f>
        <v>56213092</v>
      </c>
      <c r="B1624" s="14" t="s">
        <v>6925</v>
      </c>
      <c r="C1624" s="3" t="s">
        <v>1626</v>
      </c>
      <c r="D1624" s="3" t="str">
        <f>T("田忠利")</f>
        <v>田忠利</v>
      </c>
      <c r="E1624" s="3" t="str">
        <f>T("西南師大")</f>
        <v>西南師大</v>
      </c>
      <c r="F1624" s="3">
        <v>42</v>
      </c>
      <c r="G1624" s="3">
        <v>252</v>
      </c>
    </row>
    <row r="1625" spans="1:7" ht="14.25">
      <c r="A1625" s="3" t="str">
        <f>T("56213297")</f>
        <v>56213297</v>
      </c>
      <c r="B1625" s="14" t="s">
        <v>6929</v>
      </c>
      <c r="C1625" s="3" t="s">
        <v>1627</v>
      </c>
      <c r="D1625" s="3" t="str">
        <f>T("許俊")</f>
        <v>許俊</v>
      </c>
      <c r="E1625" s="3" t="str">
        <f>T("西南師大")</f>
        <v>西南師大</v>
      </c>
      <c r="F1625" s="3">
        <v>42</v>
      </c>
      <c r="G1625" s="3">
        <v>252</v>
      </c>
    </row>
    <row r="1626" spans="1:7" ht="14.25">
      <c r="A1626" s="3" t="str">
        <f>T("56213408")</f>
        <v>56213408</v>
      </c>
      <c r="B1626" s="14" t="s">
        <v>6932</v>
      </c>
      <c r="C1626" s="3" t="s">
        <v>1628</v>
      </c>
      <c r="D1626" s="3" t="str">
        <f>T("謝青")</f>
        <v>謝青</v>
      </c>
      <c r="E1626" s="3" t="str">
        <f>T("西南師大")</f>
        <v>西南師大</v>
      </c>
      <c r="F1626" s="3">
        <v>42</v>
      </c>
      <c r="G1626" s="3">
        <v>252</v>
      </c>
    </row>
    <row r="1627" spans="1:7" ht="14.25">
      <c r="A1627" s="3" t="str">
        <f>T("56213881")</f>
        <v>56213881</v>
      </c>
      <c r="B1627" s="14" t="s">
        <v>6935</v>
      </c>
      <c r="C1627" s="3" t="s">
        <v>1629</v>
      </c>
      <c r="D1627" s="3" t="str">
        <f>T("胡文富")</f>
        <v>胡文富</v>
      </c>
      <c r="E1627" s="3" t="str">
        <f>T("西南師大")</f>
        <v>西南師大</v>
      </c>
      <c r="F1627" s="3">
        <v>38</v>
      </c>
      <c r="G1627" s="3">
        <v>228</v>
      </c>
    </row>
    <row r="1628" spans="1:7" ht="14.25">
      <c r="A1628" s="3" t="str">
        <f>T("56245202")</f>
        <v>56245202</v>
      </c>
      <c r="B1628" s="14" t="s">
        <v>6938</v>
      </c>
      <c r="C1628" s="3" t="s">
        <v>1630</v>
      </c>
      <c r="D1628" s="3" t="str">
        <f>T("趙欲舒")</f>
        <v>趙欲舒</v>
      </c>
      <c r="E1628" s="3" t="str">
        <f>T("重慶大學")</f>
        <v>重慶大學</v>
      </c>
      <c r="F1628" s="3">
        <v>19.8</v>
      </c>
      <c r="G1628" s="3">
        <v>119</v>
      </c>
    </row>
    <row r="1629" spans="1:7" ht="14.25">
      <c r="A1629" s="3" t="str">
        <f>T("56245232")</f>
        <v>56245232</v>
      </c>
      <c r="B1629" s="14" t="s">
        <v>6942</v>
      </c>
      <c r="C1629" s="3" t="s">
        <v>1631</v>
      </c>
      <c r="D1629" s="3" t="str">
        <f>T("孫長初")</f>
        <v>孫長初</v>
      </c>
      <c r="E1629" s="3" t="str">
        <f>T("重慶大學")</f>
        <v>重慶大學</v>
      </c>
      <c r="F1629" s="3">
        <v>36</v>
      </c>
      <c r="G1629" s="3">
        <v>216</v>
      </c>
    </row>
    <row r="1630" spans="1:7" ht="14.25">
      <c r="A1630" s="3" t="str">
        <f>T("56245300")</f>
        <v>56245300</v>
      </c>
      <c r="B1630" s="14" t="s">
        <v>6945</v>
      </c>
      <c r="C1630" s="3" t="s">
        <v>1632</v>
      </c>
      <c r="D1630" s="3" t="str">
        <f>T("阿弩. 著")</f>
        <v>阿弩. 著</v>
      </c>
      <c r="E1630" s="3" t="str">
        <f>T("重慶大學")</f>
        <v>重慶大學</v>
      </c>
      <c r="F1630" s="3">
        <v>26</v>
      </c>
      <c r="G1630" s="3">
        <v>156</v>
      </c>
    </row>
    <row r="1631" spans="1:7" ht="14.25">
      <c r="A1631" s="3" t="str">
        <f>T("56261730")</f>
        <v>56261730</v>
      </c>
      <c r="B1631" s="14" t="s">
        <v>6948</v>
      </c>
      <c r="C1631" s="3" t="s">
        <v>1633</v>
      </c>
      <c r="D1631" s="3" t="str">
        <f>T("李民華編")</f>
        <v>李民華編</v>
      </c>
      <c r="E1631" s="3" t="str">
        <f>T("西南師大")</f>
        <v>西南師大</v>
      </c>
      <c r="F1631" s="3">
        <v>30</v>
      </c>
      <c r="G1631" s="3">
        <v>180</v>
      </c>
    </row>
    <row r="1632" spans="1:7" ht="14.25">
      <c r="A1632" s="3" t="str">
        <f>T("56312082")</f>
        <v>56312082</v>
      </c>
      <c r="B1632" s="14" t="s">
        <v>6951</v>
      </c>
      <c r="C1632" s="3" t="s">
        <v>1634</v>
      </c>
      <c r="D1632" s="3" t="str">
        <f>T("未建檔")</f>
        <v>未建檔</v>
      </c>
      <c r="E1632" s="3" t="str">
        <f>T("新疆大學")</f>
        <v>新疆大學</v>
      </c>
      <c r="F1632" s="3">
        <v>20</v>
      </c>
      <c r="G1632" s="3">
        <v>120</v>
      </c>
    </row>
    <row r="1633" spans="1:7" ht="14.25">
      <c r="A1633" s="3" t="str">
        <f>T("56312093")</f>
        <v>56312093</v>
      </c>
      <c r="B1633" s="14" t="s">
        <v>6954</v>
      </c>
      <c r="C1633" s="3" t="s">
        <v>1635</v>
      </c>
      <c r="D1633" s="3" t="str">
        <f>T("未建檔")</f>
        <v>未建檔</v>
      </c>
      <c r="E1633" s="3" t="str">
        <f>T("新疆大學")</f>
        <v>新疆大學</v>
      </c>
      <c r="F1633" s="3">
        <v>48</v>
      </c>
      <c r="G1633" s="3">
        <v>288</v>
      </c>
    </row>
    <row r="1634" spans="1:7" ht="14.25">
      <c r="A1634" s="3" t="str">
        <f>T("56312189")</f>
        <v>56312189</v>
      </c>
      <c r="B1634" s="14" t="s">
        <v>6956</v>
      </c>
      <c r="C1634" s="3" t="s">
        <v>1636</v>
      </c>
      <c r="D1634" s="3" t="str">
        <f>T("未建檔")</f>
        <v>未建檔</v>
      </c>
      <c r="E1634" s="3" t="str">
        <f>T("新疆大學")</f>
        <v>新疆大學</v>
      </c>
      <c r="F1634" s="3">
        <v>36</v>
      </c>
      <c r="G1634" s="3">
        <v>216</v>
      </c>
    </row>
    <row r="1635" spans="1:7" ht="14.25">
      <c r="A1635" s="3" t="str">
        <f>T("56312255")</f>
        <v>56312255</v>
      </c>
      <c r="B1635" s="14" t="s">
        <v>6958</v>
      </c>
      <c r="C1635" s="3" t="s">
        <v>1637</v>
      </c>
      <c r="D1635" s="3" t="str">
        <f>T("未建檔")</f>
        <v>未建檔</v>
      </c>
      <c r="E1635" s="3" t="str">
        <f>T("新疆大學")</f>
        <v>新疆大學</v>
      </c>
      <c r="F1635" s="3">
        <v>58</v>
      </c>
      <c r="G1635" s="3">
        <v>348</v>
      </c>
    </row>
    <row r="1636" spans="1:7" ht="14.25">
      <c r="A1636" s="3" t="str">
        <f>T("56333881")</f>
        <v>56333881</v>
      </c>
      <c r="B1636" s="14" t="s">
        <v>6960</v>
      </c>
      <c r="C1636" s="3" t="s">
        <v>1638</v>
      </c>
      <c r="D1636" s="3" t="str">
        <f>T("湯姆．帕特森 著")</f>
        <v>湯姆．帕特森 著</v>
      </c>
      <c r="E1636" s="3" t="str">
        <f>T("廣西師大")</f>
        <v>廣西師大</v>
      </c>
      <c r="F1636" s="3">
        <v>36.8</v>
      </c>
      <c r="G1636" s="3">
        <v>221</v>
      </c>
    </row>
    <row r="1637" spans="1:7" ht="14.25">
      <c r="A1637" s="3" t="str">
        <f>T("56335072")</f>
        <v>56335072</v>
      </c>
      <c r="B1637" s="14" t="s">
        <v>6963</v>
      </c>
      <c r="C1637" s="3" t="s">
        <v>1639</v>
      </c>
      <c r="D1637" s="3" t="str">
        <f>T("蔡瑭")</f>
        <v>蔡瑭</v>
      </c>
      <c r="E1637" s="3" t="str">
        <f>T("廣西師大")</f>
        <v>廣西師大</v>
      </c>
      <c r="F1637" s="3">
        <v>56</v>
      </c>
      <c r="G1637" s="3">
        <v>336</v>
      </c>
    </row>
    <row r="1638" spans="1:7" ht="14.25">
      <c r="A1638" s="3" t="str">
        <f>T("56335533")</f>
        <v>56335533</v>
      </c>
      <c r="B1638" s="14" t="s">
        <v>6970</v>
      </c>
      <c r="C1638" s="3" t="s">
        <v>1640</v>
      </c>
      <c r="D1638" s="3" t="str">
        <f>T("河清")</f>
        <v>河清</v>
      </c>
      <c r="E1638" s="3" t="str">
        <f>T("廣西師範大")</f>
        <v>廣西師範大</v>
      </c>
      <c r="F1638" s="3">
        <v>34</v>
      </c>
      <c r="G1638" s="3">
        <v>204</v>
      </c>
    </row>
    <row r="1639" spans="1:7" ht="14.25">
      <c r="A1639" s="3" t="str">
        <f>T("56335840")</f>
        <v>56335840</v>
      </c>
      <c r="B1639" s="14" t="s">
        <v>6974</v>
      </c>
      <c r="C1639" s="3" t="s">
        <v>1641</v>
      </c>
      <c r="D1639" s="3" t="str">
        <f>T("洛齊繪畫")</f>
        <v>洛齊繪畫</v>
      </c>
      <c r="E1639" s="3" t="str">
        <f>T("廣西師大")</f>
        <v>廣西師大</v>
      </c>
      <c r="F1639" s="3">
        <v>35</v>
      </c>
      <c r="G1639" s="3">
        <v>210</v>
      </c>
    </row>
    <row r="1640" spans="1:7" ht="14.25">
      <c r="A1640" s="3" t="str">
        <f>T("56336145")</f>
        <v>56336145</v>
      </c>
      <c r="B1640" s="14" t="s">
        <v>6977</v>
      </c>
      <c r="C1640" s="3" t="s">
        <v>1642</v>
      </c>
      <c r="D1640" s="3" t="str">
        <f>T("沈津")</f>
        <v>沈津</v>
      </c>
      <c r="E1640" s="3" t="str">
        <f>T("廣西師大")</f>
        <v>廣西師大</v>
      </c>
      <c r="F1640" s="3">
        <v>49.8</v>
      </c>
      <c r="G1640" s="3">
        <v>299</v>
      </c>
    </row>
    <row r="1641" spans="1:7" ht="14.25">
      <c r="A1641" s="3" t="str">
        <f>T("56336332")</f>
        <v>56336332</v>
      </c>
      <c r="B1641" s="14" t="s">
        <v>6980</v>
      </c>
      <c r="C1641" s="3" t="s">
        <v>1643</v>
      </c>
      <c r="D1641" s="3" t="str">
        <f>T("王穎吉")</f>
        <v>王穎吉</v>
      </c>
      <c r="E1641" s="3" t="str">
        <f>T("廣西師大")</f>
        <v>廣西師大</v>
      </c>
      <c r="F1641" s="3">
        <v>15</v>
      </c>
      <c r="G1641" s="3">
        <v>90</v>
      </c>
    </row>
    <row r="1642" spans="1:7" ht="14.25">
      <c r="A1642" s="3" t="str">
        <f>T("56336395")</f>
        <v>56336395</v>
      </c>
      <c r="B1642" s="14" t="s">
        <v>6983</v>
      </c>
      <c r="C1642" s="3" t="s">
        <v>1644</v>
      </c>
      <c r="D1642" s="3" t="str">
        <f>T(".")</f>
        <v>.</v>
      </c>
      <c r="E1642" s="3" t="str">
        <f>T("廣西師大")</f>
        <v>廣西師大</v>
      </c>
      <c r="F1642" s="3">
        <v>28.8</v>
      </c>
      <c r="G1642" s="3">
        <v>173</v>
      </c>
    </row>
    <row r="1643" spans="1:7" ht="14.25">
      <c r="A1643" s="3" t="str">
        <f>T("56336611")</f>
        <v>56336611</v>
      </c>
      <c r="B1643" s="14" t="s">
        <v>6985</v>
      </c>
      <c r="C1643" s="3" t="s">
        <v>1645</v>
      </c>
      <c r="D1643" s="3" t="str">
        <f>T("(日)永田英正")</f>
        <v>(日)永田英正</v>
      </c>
      <c r="E1643" s="3" t="str">
        <f>T("廣西師大")</f>
        <v>廣西師大</v>
      </c>
      <c r="F1643" s="3">
        <v>80</v>
      </c>
      <c r="G1643" s="3">
        <v>480</v>
      </c>
    </row>
    <row r="1644" spans="1:7" ht="14.25">
      <c r="A1644" s="3" t="str">
        <f>T("56336626")</f>
        <v>56336626</v>
      </c>
      <c r="B1644" s="14" t="s">
        <v>6988</v>
      </c>
      <c r="C1644" s="3" t="s">
        <v>1646</v>
      </c>
      <c r="D1644" s="3" t="str">
        <f>T("龍子仲")</f>
        <v>龍子仲</v>
      </c>
      <c r="E1644" s="3" t="str">
        <f>T("廣西師大")</f>
        <v>廣西師大</v>
      </c>
      <c r="F1644" s="3">
        <v>16</v>
      </c>
      <c r="G1644" s="3">
        <v>96</v>
      </c>
    </row>
    <row r="1645" spans="1:7" ht="14.25">
      <c r="A1645" s="3" t="str">
        <f>T("56336639")</f>
        <v>56336639</v>
      </c>
      <c r="B1645" s="14" t="s">
        <v>6991</v>
      </c>
      <c r="C1645" s="3" t="s">
        <v>1647</v>
      </c>
      <c r="D1645" s="3" t="str">
        <f>T("常大麟")</f>
        <v>常大麟</v>
      </c>
      <c r="E1645" s="3" t="str">
        <f>T("廣西師大")</f>
        <v>廣西師大</v>
      </c>
      <c r="F1645" s="3">
        <v>30</v>
      </c>
      <c r="G1645" s="3">
        <v>180</v>
      </c>
    </row>
    <row r="1646" spans="1:7" ht="14.25">
      <c r="A1646" s="3" t="str">
        <f>T("56336756")</f>
        <v>56336756</v>
      </c>
      <c r="B1646" s="14" t="s">
        <v>6994</v>
      </c>
      <c r="C1646" s="3" t="s">
        <v>1648</v>
      </c>
      <c r="D1646" s="3" t="str">
        <f>T("惜秋")</f>
        <v>惜秋</v>
      </c>
      <c r="E1646" s="3" t="str">
        <f>T("廣西師大")</f>
        <v>廣西師大</v>
      </c>
      <c r="F1646" s="3">
        <v>22</v>
      </c>
      <c r="G1646" s="3">
        <v>132</v>
      </c>
    </row>
    <row r="1647" spans="1:7" ht="14.25">
      <c r="A1647" s="3" t="str">
        <f>T("56336757")</f>
        <v>56336757</v>
      </c>
      <c r="B1647" s="14" t="s">
        <v>6997</v>
      </c>
      <c r="C1647" s="3" t="s">
        <v>1649</v>
      </c>
      <c r="D1647" s="3" t="str">
        <f>T("惜秋")</f>
        <v>惜秋</v>
      </c>
      <c r="E1647" s="3" t="str">
        <f>T("廣西師大")</f>
        <v>廣西師大</v>
      </c>
      <c r="F1647" s="3">
        <v>22</v>
      </c>
      <c r="G1647" s="3">
        <v>132</v>
      </c>
    </row>
    <row r="1648" spans="1:7" ht="14.25">
      <c r="A1648" s="3" t="str">
        <f>T("56337009")</f>
        <v>56337009</v>
      </c>
      <c r="B1648" s="14" t="s">
        <v>6999</v>
      </c>
      <c r="C1648" s="3" t="s">
        <v>1650</v>
      </c>
      <c r="D1648" s="3" t="str">
        <f>T("楊力")</f>
        <v>楊力</v>
      </c>
      <c r="E1648" s="3" t="str">
        <f>T("廣西師大")</f>
        <v>廣西師大</v>
      </c>
      <c r="F1648" s="3">
        <v>40</v>
      </c>
      <c r="G1648" s="3">
        <v>240</v>
      </c>
    </row>
    <row r="1649" spans="1:7" ht="14.25">
      <c r="A1649" s="3" t="str">
        <f>T("56337561")</f>
        <v>56337561</v>
      </c>
      <c r="B1649" s="14" t="s">
        <v>7002</v>
      </c>
      <c r="C1649" s="3" t="s">
        <v>1651</v>
      </c>
      <c r="D1649" s="3" t="str">
        <f>T("王志敏")</f>
        <v>王志敏</v>
      </c>
      <c r="E1649" s="3" t="str">
        <f>T("廣西師大")</f>
        <v>廣西師大</v>
      </c>
      <c r="F1649" s="3">
        <v>42.5</v>
      </c>
      <c r="G1649" s="3">
        <v>255</v>
      </c>
    </row>
    <row r="1650" spans="1:7" ht="14.25">
      <c r="A1650" s="3" t="str">
        <f>T("56337564")</f>
        <v>56337564</v>
      </c>
      <c r="B1650" s="14" t="s">
        <v>7005</v>
      </c>
      <c r="C1650" s="3" t="s">
        <v>1652</v>
      </c>
      <c r="D1650" s="3" t="str">
        <f>T("邱振中")</f>
        <v>邱振中</v>
      </c>
      <c r="E1650" s="3" t="str">
        <f>T("廣西師大")</f>
        <v>廣西師大</v>
      </c>
      <c r="F1650" s="3">
        <v>41</v>
      </c>
      <c r="G1650" s="3">
        <v>246</v>
      </c>
    </row>
    <row r="1651" spans="1:7" ht="14.25">
      <c r="A1651" s="3" t="str">
        <f>T("56337565")</f>
        <v>56337565</v>
      </c>
      <c r="B1651" s="14" t="s">
        <v>7008</v>
      </c>
      <c r="C1651" s="3" t="s">
        <v>1653</v>
      </c>
      <c r="D1651" s="3" t="str">
        <f>T("王其鈞編")</f>
        <v>王其鈞編</v>
      </c>
      <c r="E1651" s="3" t="str">
        <f>T("廣西師大")</f>
        <v>廣西師大</v>
      </c>
      <c r="F1651" s="3">
        <v>41</v>
      </c>
      <c r="G1651" s="3">
        <v>246</v>
      </c>
    </row>
    <row r="1652" spans="1:7" ht="14.25">
      <c r="A1652" s="3" t="str">
        <f>T("56337727")</f>
        <v>56337727</v>
      </c>
      <c r="B1652" s="14" t="s">
        <v>7011</v>
      </c>
      <c r="C1652" s="3" t="s">
        <v>1654</v>
      </c>
      <c r="D1652" s="3" t="str">
        <f>T("楊希枚著")</f>
        <v>楊希枚著</v>
      </c>
      <c r="E1652" s="3" t="str">
        <f>T("廣西師大")</f>
        <v>廣西師大</v>
      </c>
      <c r="F1652" s="3">
        <v>28</v>
      </c>
      <c r="G1652" s="3">
        <v>168</v>
      </c>
    </row>
    <row r="1653" spans="1:7" ht="14.25">
      <c r="A1653" s="3" t="str">
        <f>T("56337747")</f>
        <v>56337747</v>
      </c>
      <c r="B1653" s="14" t="s">
        <v>7014</v>
      </c>
      <c r="C1653" s="3" t="s">
        <v>1655</v>
      </c>
      <c r="D1653" s="3" t="str">
        <f>T("易英 主編")</f>
        <v>易英 主編</v>
      </c>
      <c r="E1653" s="3" t="str">
        <f>T("廣西師大")</f>
        <v>廣西師大</v>
      </c>
      <c r="F1653" s="3">
        <v>42</v>
      </c>
      <c r="G1653" s="3">
        <v>252</v>
      </c>
    </row>
    <row r="1654" spans="1:7" ht="14.25">
      <c r="A1654" s="3" t="str">
        <f>T("56337748")</f>
        <v>56337748</v>
      </c>
      <c r="B1654" s="14" t="s">
        <v>7017</v>
      </c>
      <c r="C1654" s="3" t="s">
        <v>1656</v>
      </c>
      <c r="D1654" s="3" t="str">
        <f>T("王曉寧")</f>
        <v>王曉寧</v>
      </c>
      <c r="E1654" s="3" t="str">
        <f>T("廣西師大")</f>
        <v>廣西師大</v>
      </c>
      <c r="F1654" s="3">
        <v>37</v>
      </c>
      <c r="G1654" s="3">
        <v>222</v>
      </c>
    </row>
    <row r="1655" spans="1:7" ht="14.25">
      <c r="A1655" s="3" t="str">
        <f>T("56337749")</f>
        <v>56337749</v>
      </c>
      <c r="B1655" s="14" t="s">
        <v>7020</v>
      </c>
      <c r="C1655" s="3" t="s">
        <v>1657</v>
      </c>
      <c r="D1655" s="3" t="str">
        <f>T("賀西林")</f>
        <v>賀西林</v>
      </c>
      <c r="E1655" s="3" t="str">
        <f>T("廣西師大")</f>
        <v>廣西師大</v>
      </c>
      <c r="F1655" s="3">
        <v>52</v>
      </c>
      <c r="G1655" s="3">
        <v>312</v>
      </c>
    </row>
    <row r="1656" spans="1:7" ht="14.25">
      <c r="A1656" s="3" t="str">
        <f>T("56337767")</f>
        <v>56337767</v>
      </c>
      <c r="B1656" s="14" t="s">
        <v>7023</v>
      </c>
      <c r="C1656" s="3" t="s">
        <v>1658</v>
      </c>
      <c r="D1656" s="3" t="str">
        <f>T("梁啟超")</f>
        <v>梁啟超</v>
      </c>
      <c r="E1656" s="3" t="str">
        <f>T("廣西師大")</f>
        <v>廣西師大</v>
      </c>
      <c r="F1656" s="3">
        <v>16</v>
      </c>
      <c r="G1656" s="3">
        <v>96</v>
      </c>
    </row>
    <row r="1657" spans="1:7" ht="14.25">
      <c r="A1657" s="3" t="str">
        <f>T("56337768")</f>
        <v>56337768</v>
      </c>
      <c r="B1657" s="14" t="s">
        <v>7025</v>
      </c>
      <c r="C1657" s="3" t="s">
        <v>1659</v>
      </c>
      <c r="D1657" s="3" t="str">
        <f>T("碧荷館主人")</f>
        <v>碧荷館主人</v>
      </c>
      <c r="E1657" s="3" t="str">
        <f>T("廣西師大")</f>
        <v>廣西師大</v>
      </c>
      <c r="F1657" s="3">
        <v>15</v>
      </c>
      <c r="G1657" s="3">
        <v>90</v>
      </c>
    </row>
    <row r="1658" spans="1:7" ht="14.25">
      <c r="A1658" s="3" t="str">
        <f>T("56337792")</f>
        <v>56337792</v>
      </c>
      <c r="B1658" s="14" t="s">
        <v>7028</v>
      </c>
      <c r="C1658" s="3" t="s">
        <v>1660</v>
      </c>
      <c r="D1658" s="3" t="str">
        <f>T("唐代文學會")</f>
        <v>唐代文學會</v>
      </c>
      <c r="E1658" s="3" t="str">
        <f>T("廣西師大")</f>
        <v>廣西師大</v>
      </c>
      <c r="F1658" s="3">
        <v>53</v>
      </c>
      <c r="G1658" s="3">
        <v>318</v>
      </c>
    </row>
    <row r="1659" spans="1:7" ht="14.25">
      <c r="A1659" s="3" t="str">
        <f>T("56338055")</f>
        <v>56338055</v>
      </c>
      <c r="B1659" s="14" t="s">
        <v>7031</v>
      </c>
      <c r="C1659" s="3" t="s">
        <v>1661</v>
      </c>
      <c r="D1659" s="3" t="str">
        <f>T("謝泳")</f>
        <v>謝泳</v>
      </c>
      <c r="E1659" s="3" t="str">
        <f>T("廣西師大")</f>
        <v>廣西師大</v>
      </c>
      <c r="F1659" s="3">
        <v>26</v>
      </c>
      <c r="G1659" s="3">
        <v>156</v>
      </c>
    </row>
    <row r="1660" spans="1:7" ht="14.25">
      <c r="A1660" s="3" t="str">
        <f>T("56338282")</f>
        <v>56338282</v>
      </c>
      <c r="B1660" s="14" t="s">
        <v>7038</v>
      </c>
      <c r="C1660" s="3" t="s">
        <v>1662</v>
      </c>
      <c r="D1660" s="3" t="str">
        <f>T("朱周斌")</f>
        <v>朱周斌</v>
      </c>
      <c r="E1660" s="3" t="str">
        <f>T("廣西師大")</f>
        <v>廣西師大</v>
      </c>
      <c r="F1660" s="3">
        <v>28</v>
      </c>
      <c r="G1660" s="3">
        <v>168</v>
      </c>
    </row>
    <row r="1661" spans="1:7" ht="14.25">
      <c r="A1661" s="3" t="str">
        <f>T("56338326")</f>
        <v>56338326</v>
      </c>
      <c r="B1661" s="14" t="s">
        <v>7041</v>
      </c>
      <c r="C1661" s="3" t="s">
        <v>1663</v>
      </c>
      <c r="D1661" s="3" t="str">
        <f>T("賈志剛著")</f>
        <v>賈志剛著</v>
      </c>
      <c r="E1661" s="3" t="str">
        <f>T("廣西師大")</f>
        <v>廣西師大</v>
      </c>
      <c r="F1661" s="3">
        <v>28</v>
      </c>
      <c r="G1661" s="3">
        <v>168</v>
      </c>
    </row>
    <row r="1662" spans="1:7" ht="14.25">
      <c r="A1662" s="3" t="str">
        <f>T("56338466")</f>
        <v>56338466</v>
      </c>
      <c r="B1662" s="14" t="s">
        <v>7044</v>
      </c>
      <c r="C1662" s="3" t="s">
        <v>1664</v>
      </c>
      <c r="D1662" s="3" t="str">
        <f>T("任一鳴編著")</f>
        <v>任一鳴編著</v>
      </c>
      <c r="E1662" s="3" t="str">
        <f>T("廣西師大")</f>
        <v>廣西師大</v>
      </c>
      <c r="F1662" s="3">
        <v>30</v>
      </c>
      <c r="G1662" s="3">
        <v>180</v>
      </c>
    </row>
    <row r="1663" spans="1:7" ht="14.25">
      <c r="A1663" s="3" t="str">
        <f>T("56338941")</f>
        <v>56338941</v>
      </c>
      <c r="B1663" s="14" t="s">
        <v>7047</v>
      </c>
      <c r="C1663" s="3" t="s">
        <v>1665</v>
      </c>
      <c r="D1663" s="3" t="str">
        <f>T("易中天")</f>
        <v>易中天</v>
      </c>
      <c r="E1663" s="3" t="str">
        <f>T("廣西師大")</f>
        <v>廣西師大</v>
      </c>
      <c r="F1663" s="3">
        <v>24</v>
      </c>
      <c r="G1663" s="3">
        <v>144</v>
      </c>
    </row>
    <row r="1664" spans="1:7" ht="14.25">
      <c r="A1664" s="3" t="str">
        <f>T("56339019")</f>
        <v>56339019</v>
      </c>
      <c r="B1664" s="14" t="s">
        <v>7049</v>
      </c>
      <c r="C1664" s="3" t="s">
        <v>1666</v>
      </c>
      <c r="D1664" s="3" t="str">
        <f>T("劉建軍")</f>
        <v>劉建軍</v>
      </c>
      <c r="E1664" s="3" t="str">
        <f>T("廣西師大")</f>
        <v>廣西師大</v>
      </c>
      <c r="F1664" s="3">
        <v>38</v>
      </c>
      <c r="G1664" s="3">
        <v>228</v>
      </c>
    </row>
    <row r="1665" spans="1:7" ht="14.25">
      <c r="A1665" s="3" t="str">
        <f>T("56339090")</f>
        <v>56339090</v>
      </c>
      <c r="B1665" s="14" t="s">
        <v>7052</v>
      </c>
      <c r="C1665" s="3" t="s">
        <v>1667</v>
      </c>
      <c r="D1665" s="3" t="str">
        <f>T("車錫倫")</f>
        <v>車錫倫</v>
      </c>
      <c r="E1665" s="3" t="str">
        <f>T("廣西師大")</f>
        <v>廣西師大</v>
      </c>
      <c r="F1665" s="3">
        <v>238</v>
      </c>
      <c r="G1665" s="3">
        <v>1428</v>
      </c>
    </row>
    <row r="1666" spans="1:7" ht="14.25">
      <c r="A1666" s="3" t="str">
        <f>T("56339419")</f>
        <v>56339419</v>
      </c>
      <c r="B1666" s="14" t="s">
        <v>7055</v>
      </c>
      <c r="C1666" s="3" t="s">
        <v>1668</v>
      </c>
      <c r="D1666" s="3" t="str">
        <f>T("蔡子強")</f>
        <v>蔡子強</v>
      </c>
      <c r="E1666" s="3" t="str">
        <f>T("廣西師大")</f>
        <v>廣西師大</v>
      </c>
      <c r="F1666" s="3">
        <v>35</v>
      </c>
      <c r="G1666" s="3">
        <v>210</v>
      </c>
    </row>
    <row r="1667" spans="1:7" ht="14.25">
      <c r="A1667" s="3" t="str">
        <f>T("56339695")</f>
        <v>56339695</v>
      </c>
      <c r="B1667" s="14" t="s">
        <v>7058</v>
      </c>
      <c r="C1667" s="3" t="s">
        <v>1669</v>
      </c>
      <c r="D1667" s="3" t="str">
        <f>T("王國維")</f>
        <v>王國維</v>
      </c>
      <c r="E1667" s="3" t="str">
        <f>T("廣西師大")</f>
        <v>廣西師大</v>
      </c>
      <c r="F1667" s="3">
        <v>15</v>
      </c>
      <c r="G1667" s="3">
        <v>90</v>
      </c>
    </row>
    <row r="1668" spans="1:7" ht="14.25">
      <c r="A1668" s="3" t="str">
        <f>T("56339781")</f>
        <v>56339781</v>
      </c>
      <c r="B1668" s="14" t="s">
        <v>7061</v>
      </c>
      <c r="C1668" s="3" t="s">
        <v>1670</v>
      </c>
      <c r="D1668" s="3" t="str">
        <f>T("朱自清")</f>
        <v>朱自清</v>
      </c>
      <c r="E1668" s="3" t="str">
        <f>T("廣西師大")</f>
        <v>廣西師大</v>
      </c>
      <c r="F1668" s="3">
        <v>15</v>
      </c>
      <c r="G1668" s="3">
        <v>90</v>
      </c>
    </row>
    <row r="1669" spans="1:7" ht="14.25">
      <c r="A1669" s="3" t="str">
        <f>T("56339782")</f>
        <v>56339782</v>
      </c>
      <c r="B1669" s="14" t="s">
        <v>7064</v>
      </c>
      <c r="C1669" s="3" t="s">
        <v>1671</v>
      </c>
      <c r="D1669" s="3" t="str">
        <f>T("陳杜")</f>
        <v>陳杜</v>
      </c>
      <c r="E1669" s="3" t="str">
        <f>T("廣西師大")</f>
        <v>廣西師大</v>
      </c>
      <c r="F1669" s="3">
        <v>16</v>
      </c>
      <c r="G1669" s="3">
        <v>96</v>
      </c>
    </row>
    <row r="1670" spans="1:7" ht="14.25">
      <c r="A1670" s="3" t="str">
        <f>T("56339785")</f>
        <v>56339785</v>
      </c>
      <c r="B1670" s="14" t="s">
        <v>7067</v>
      </c>
      <c r="C1670" s="3" t="s">
        <v>1672</v>
      </c>
      <c r="D1670" s="3" t="str">
        <f>T("黃志華等")</f>
        <v>黃志華等</v>
      </c>
      <c r="E1670" s="3" t="str">
        <f>T("廣西師大")</f>
        <v>廣西師大</v>
      </c>
      <c r="F1670" s="3">
        <v>29.8</v>
      </c>
      <c r="G1670" s="3">
        <v>179</v>
      </c>
    </row>
    <row r="1671" spans="1:7" ht="14.25">
      <c r="A1671" s="3" t="str">
        <f>T("56339792")</f>
        <v>56339792</v>
      </c>
      <c r="B1671" s="14" t="s">
        <v>7070</v>
      </c>
      <c r="C1671" s="3" t="s">
        <v>1673</v>
      </c>
      <c r="D1671" s="3" t="str">
        <f>T("蔡元培")</f>
        <v>蔡元培</v>
      </c>
      <c r="E1671" s="3" t="str">
        <f>T("廣西師大")</f>
        <v>廣西師大</v>
      </c>
      <c r="F1671" s="3">
        <v>15</v>
      </c>
      <c r="G1671" s="3">
        <v>90</v>
      </c>
    </row>
    <row r="1672" spans="1:7" ht="14.25">
      <c r="A1672" s="3" t="str">
        <f>T("56339793")</f>
        <v>56339793</v>
      </c>
      <c r="B1672" s="14" t="s">
        <v>7072</v>
      </c>
      <c r="C1672" s="3" t="s">
        <v>1674</v>
      </c>
      <c r="D1672" s="3" t="str">
        <f>T("梁啟超")</f>
        <v>梁啟超</v>
      </c>
      <c r="E1672" s="3" t="str">
        <f>T("廣西師大")</f>
        <v>廣西師大</v>
      </c>
      <c r="F1672" s="3">
        <v>18</v>
      </c>
      <c r="G1672" s="3">
        <v>108</v>
      </c>
    </row>
    <row r="1673" spans="1:7" ht="14.25">
      <c r="A1673" s="3" t="str">
        <f>T("56339863")</f>
        <v>56339863</v>
      </c>
      <c r="B1673" s="14" t="s">
        <v>7074</v>
      </c>
      <c r="C1673" s="3" t="s">
        <v>1675</v>
      </c>
      <c r="D1673" s="3" t="str">
        <f>T("鄭振鐸. 著")</f>
        <v>鄭振鐸. 著</v>
      </c>
      <c r="E1673" s="3" t="str">
        <f>T("廣西師大")</f>
        <v>廣西師大</v>
      </c>
      <c r="F1673" s="3">
        <v>29.8</v>
      </c>
      <c r="G1673" s="3">
        <v>179</v>
      </c>
    </row>
    <row r="1674" spans="1:7" ht="14.25">
      <c r="A1674" s="3" t="str">
        <f>T("56371276")</f>
        <v>56371276</v>
      </c>
      <c r="B1674" s="14" t="s">
        <v>7077</v>
      </c>
      <c r="C1674" s="3" t="s">
        <v>1676</v>
      </c>
      <c r="D1674" s="3" t="str">
        <f>T("張末")</f>
        <v>張末</v>
      </c>
      <c r="E1674" s="3" t="str">
        <f>T("旅遊教育")</f>
        <v>旅遊教育</v>
      </c>
      <c r="F1674" s="3">
        <v>20</v>
      </c>
      <c r="G1674" s="3">
        <v>120</v>
      </c>
    </row>
    <row r="1675" spans="1:7" ht="14.25">
      <c r="A1675" s="3" t="str">
        <f>T("56371288")</f>
        <v>56371288</v>
      </c>
      <c r="B1675" s="14" t="s">
        <v>7081</v>
      </c>
      <c r="C1675" s="3" t="s">
        <v>1677</v>
      </c>
      <c r="D1675" s="3" t="str">
        <f>T("李陽泉")</f>
        <v>李陽泉</v>
      </c>
      <c r="E1675" s="3" t="str">
        <f>T("旅遊教育")</f>
        <v>旅遊教育</v>
      </c>
      <c r="F1675" s="3">
        <v>20</v>
      </c>
      <c r="G1675" s="3">
        <v>120</v>
      </c>
    </row>
    <row r="1676" spans="1:7" ht="14.25">
      <c r="A1676" s="3" t="str">
        <f>T("56371297")</f>
        <v>56371297</v>
      </c>
      <c r="B1676" s="14" t="s">
        <v>7084</v>
      </c>
      <c r="C1676" s="3" t="s">
        <v>1678</v>
      </c>
      <c r="D1676" s="3" t="str">
        <f>T("果美俠")</f>
        <v>果美俠</v>
      </c>
      <c r="E1676" s="3" t="str">
        <f>T("旅遊教育")</f>
        <v>旅遊教育</v>
      </c>
      <c r="F1676" s="3">
        <v>20</v>
      </c>
      <c r="G1676" s="3">
        <v>120</v>
      </c>
    </row>
    <row r="1677" spans="1:7" ht="14.25">
      <c r="A1677" s="3" t="str">
        <f>T("56391836")</f>
        <v>56391836</v>
      </c>
      <c r="B1677" s="14" t="s">
        <v>7087</v>
      </c>
      <c r="C1677" s="3" t="s">
        <v>1679</v>
      </c>
      <c r="D1677" s="3" t="str">
        <f>T("何新")</f>
        <v>何新</v>
      </c>
      <c r="E1677" s="3" t="str">
        <f>T("北京工大")</f>
        <v>北京工大</v>
      </c>
      <c r="F1677" s="3">
        <v>26.8</v>
      </c>
      <c r="G1677" s="3">
        <v>161</v>
      </c>
    </row>
    <row r="1678" spans="1:7" ht="14.25">
      <c r="A1678" s="3" t="str">
        <f>T("56392196")</f>
        <v>56392196</v>
      </c>
      <c r="B1678" s="14" t="s">
        <v>7091</v>
      </c>
      <c r="C1678" s="3" t="s">
        <v>1680</v>
      </c>
      <c r="D1678" s="3" t="str">
        <f>T("於懋")</f>
        <v>於懋</v>
      </c>
      <c r="E1678" s="3" t="str">
        <f>T("北京工大")</f>
        <v>北京工大</v>
      </c>
      <c r="F1678" s="3">
        <v>28.8</v>
      </c>
      <c r="G1678" s="3">
        <v>173</v>
      </c>
    </row>
    <row r="1679" spans="1:7" ht="14.25">
      <c r="A1679" s="3" t="str">
        <f>T("56392266")</f>
        <v>56392266</v>
      </c>
      <c r="B1679" s="14" t="s">
        <v>7094</v>
      </c>
      <c r="C1679" s="3" t="s">
        <v>1681</v>
      </c>
      <c r="D1679" s="3" t="str">
        <f>T("唐河")</f>
        <v>唐河</v>
      </c>
      <c r="E1679" s="3" t="str">
        <f>T("北工大")</f>
        <v>北工大</v>
      </c>
      <c r="F1679" s="3">
        <v>58.8</v>
      </c>
      <c r="G1679" s="3">
        <v>353</v>
      </c>
    </row>
    <row r="1680" spans="1:7" ht="14.25">
      <c r="A1680" s="3" t="str">
        <f>T("56392417")</f>
        <v>56392417</v>
      </c>
      <c r="B1680" s="14" t="s">
        <v>7098</v>
      </c>
      <c r="C1680" s="3" t="s">
        <v>1682</v>
      </c>
      <c r="D1680" s="3" t="str">
        <f>T("唐河")</f>
        <v>唐河</v>
      </c>
      <c r="E1680" s="3" t="str">
        <f>T("北工大")</f>
        <v>北工大</v>
      </c>
      <c r="F1680" s="3">
        <v>68</v>
      </c>
      <c r="G1680" s="3">
        <v>408</v>
      </c>
    </row>
    <row r="1681" spans="1:7" ht="14.25">
      <c r="A1681" s="3" t="str">
        <f>T("56392418")</f>
        <v>56392418</v>
      </c>
      <c r="B1681" s="14" t="s">
        <v>7100</v>
      </c>
      <c r="C1681" s="3" t="s">
        <v>1683</v>
      </c>
      <c r="D1681" s="3" t="str">
        <f>T("唐河")</f>
        <v>唐河</v>
      </c>
      <c r="E1681" s="3" t="str">
        <f>T("北工大")</f>
        <v>北工大</v>
      </c>
      <c r="F1681" s="3">
        <v>60</v>
      </c>
      <c r="G1681" s="3">
        <v>360</v>
      </c>
    </row>
    <row r="1682" spans="1:7" ht="14.25">
      <c r="A1682" s="3" t="str">
        <f>T("56392437")</f>
        <v>56392437</v>
      </c>
      <c r="B1682" s="14" t="s">
        <v>7102</v>
      </c>
      <c r="C1682" s="3" t="s">
        <v>1684</v>
      </c>
      <c r="D1682" s="3" t="str">
        <f>T("朱五紅")</f>
        <v>朱五紅</v>
      </c>
      <c r="E1682" s="3" t="str">
        <f>T("北工大")</f>
        <v>北工大</v>
      </c>
      <c r="F1682" s="3">
        <v>34.8</v>
      </c>
      <c r="G1682" s="3">
        <v>209</v>
      </c>
    </row>
    <row r="1683" spans="1:7" ht="14.25">
      <c r="A1683" s="3" t="str">
        <f>T("56403075")</f>
        <v>56403075</v>
      </c>
      <c r="B1683" s="14" t="s">
        <v>7105</v>
      </c>
      <c r="C1683" s="3" t="s">
        <v>1685</v>
      </c>
      <c r="D1683" s="3" t="str">
        <f>T("司馬遷")</f>
        <v>司馬遷</v>
      </c>
      <c r="E1683" s="3" t="str">
        <f>T("北京理工大")</f>
        <v>北京理工大</v>
      </c>
      <c r="F1683" s="3">
        <v>25</v>
      </c>
      <c r="G1683" s="3">
        <v>150</v>
      </c>
    </row>
    <row r="1684" spans="1:7" ht="14.25">
      <c r="A1684" s="3" t="str">
        <f>T("56411016")</f>
        <v>56411016</v>
      </c>
      <c r="B1684" s="14" t="s">
        <v>7108</v>
      </c>
      <c r="C1684" s="3" t="s">
        <v>1686</v>
      </c>
      <c r="D1684" s="3" t="str">
        <f>T("吳國璋")</f>
        <v>吳國璋</v>
      </c>
      <c r="E1684" s="3" t="str">
        <f>T("東南大學")</f>
        <v>東南大學</v>
      </c>
      <c r="F1684" s="3">
        <v>160</v>
      </c>
      <c r="G1684" s="3">
        <v>960</v>
      </c>
    </row>
    <row r="1685" spans="1:7" ht="14.25">
      <c r="A1685" s="3" t="str">
        <f>T("56411078")</f>
        <v>56411078</v>
      </c>
      <c r="B1685" s="14" t="s">
        <v>7112</v>
      </c>
      <c r="C1685" s="3" t="s">
        <v>1687</v>
      </c>
      <c r="D1685" s="3" t="str">
        <f>T("皋於厚")</f>
        <v>皋於厚</v>
      </c>
      <c r="E1685" s="3" t="str">
        <f>T("東南大學")</f>
        <v>東南大學</v>
      </c>
      <c r="F1685" s="3">
        <v>26</v>
      </c>
      <c r="G1685" s="3">
        <v>156</v>
      </c>
    </row>
    <row r="1686" spans="1:7" ht="14.25">
      <c r="A1686" s="3" t="str">
        <f>T("56411442")</f>
        <v>56411442</v>
      </c>
      <c r="B1686" s="14" t="s">
        <v>7115</v>
      </c>
      <c r="C1686" s="3" t="s">
        <v>1688</v>
      </c>
      <c r="D1686" s="3" t="str">
        <f>T("江蘇省檔案館")</f>
        <v>江蘇省檔案館</v>
      </c>
      <c r="E1686" s="3" t="str">
        <f>T("東南大學")</f>
        <v>東南大學</v>
      </c>
      <c r="F1686" s="3">
        <v>48</v>
      </c>
      <c r="G1686" s="3">
        <v>288</v>
      </c>
    </row>
    <row r="1687" spans="1:7" ht="14.25">
      <c r="A1687" s="3" t="str">
        <f>T("56411545")</f>
        <v>56411545</v>
      </c>
      <c r="B1687" s="14" t="s">
        <v>7118</v>
      </c>
      <c r="C1687" s="3" t="s">
        <v>1689</v>
      </c>
      <c r="D1687" s="3" t="str">
        <f>T("陳繪")</f>
        <v>陳繪</v>
      </c>
      <c r="E1687" s="3" t="str">
        <f>T("東南大學")</f>
        <v>東南大學</v>
      </c>
      <c r="F1687" s="3">
        <v>35</v>
      </c>
      <c r="G1687" s="3">
        <v>210</v>
      </c>
    </row>
    <row r="1688" spans="1:7" ht="14.25">
      <c r="A1688" s="3" t="str">
        <f>T("56412205")</f>
        <v>56412205</v>
      </c>
      <c r="B1688" s="14" t="s">
        <v>7121</v>
      </c>
      <c r="C1688" s="3" t="s">
        <v>1690</v>
      </c>
      <c r="D1688" s="3" t="str">
        <f>T("馬渭源. 著")</f>
        <v>馬渭源. 著</v>
      </c>
      <c r="E1688" s="3" t="str">
        <f>T("東南大學")</f>
        <v>東南大學</v>
      </c>
      <c r="F1688" s="3">
        <v>29</v>
      </c>
      <c r="G1688" s="3">
        <v>174</v>
      </c>
    </row>
    <row r="1689" spans="1:7" ht="14.25">
      <c r="A1689" s="3" t="str">
        <f>T("56500073")</f>
        <v>56500073</v>
      </c>
      <c r="B1689" s="14" t="s">
        <v>7124</v>
      </c>
      <c r="C1689" s="3" t="s">
        <v>1691</v>
      </c>
      <c r="D1689" s="3" t="str">
        <f>T("唐紅炬")</f>
        <v>唐紅炬</v>
      </c>
      <c r="E1689" s="3" t="str">
        <f>T("合肥工大")</f>
        <v>合肥工大</v>
      </c>
      <c r="F1689" s="3">
        <v>35</v>
      </c>
      <c r="G1689" s="3">
        <v>210</v>
      </c>
    </row>
    <row r="1690" spans="1:7" ht="14.25">
      <c r="A1690" s="3" t="str">
        <f>T("56500146")</f>
        <v>56500146</v>
      </c>
      <c r="B1690" s="14" t="s">
        <v>7128</v>
      </c>
      <c r="C1690" s="3" t="s">
        <v>1692</v>
      </c>
      <c r="D1690" s="3" t="str">
        <f>T("張曉東著")</f>
        <v>張曉東著</v>
      </c>
      <c r="E1690" s="3" t="str">
        <f>T("合肥工大")</f>
        <v>合肥工大</v>
      </c>
      <c r="F1690" s="3">
        <v>30</v>
      </c>
      <c r="G1690" s="3">
        <v>180</v>
      </c>
    </row>
    <row r="1691" spans="1:7" ht="14.25">
      <c r="A1691" s="3" t="str">
        <f>T("60101320")</f>
        <v>60101320</v>
      </c>
      <c r="B1691" s="14" t="s">
        <v>7131</v>
      </c>
      <c r="C1691" s="3" t="s">
        <v>1693</v>
      </c>
      <c r="D1691" s="3" t="str">
        <f>T("阿英")</f>
        <v>阿英</v>
      </c>
      <c r="E1691" s="3" t="str">
        <f>T("廣陵書社")</f>
        <v>廣陵書社</v>
      </c>
      <c r="F1691" s="3">
        <v>110</v>
      </c>
      <c r="G1691" s="3">
        <v>660</v>
      </c>
    </row>
    <row r="1692" spans="1:7" ht="14.25">
      <c r="A1692" s="3" t="str">
        <f>T("73011483")</f>
        <v>73011483</v>
      </c>
      <c r="B1692" s="14" t="s">
        <v>7134</v>
      </c>
      <c r="C1692" s="3" t="s">
        <v>1694</v>
      </c>
      <c r="D1692" s="3" t="str">
        <f>T("王耀路")</f>
        <v>王耀路</v>
      </c>
      <c r="E1692" s="3" t="str">
        <f>T("北京大學")</f>
        <v>北京大學</v>
      </c>
      <c r="F1692" s="3">
        <v>30</v>
      </c>
      <c r="G1692" s="3">
        <v>180</v>
      </c>
    </row>
    <row r="1693" spans="1:7" ht="14.25">
      <c r="A1693" s="3" t="str">
        <f>T("80047538")</f>
        <v>80047538</v>
      </c>
      <c r="B1693" s="14" t="s">
        <v>7137</v>
      </c>
      <c r="C1693" s="3" t="s">
        <v>1695</v>
      </c>
      <c r="D1693" s="3" t="str">
        <f>T("鄭欣淼")</f>
        <v>鄭欣淼</v>
      </c>
      <c r="E1693" s="3" t="str">
        <f>T("紫禁城")</f>
        <v>紫禁城</v>
      </c>
      <c r="F1693" s="3">
        <v>39</v>
      </c>
      <c r="G1693" s="3">
        <v>234</v>
      </c>
    </row>
    <row r="1694" spans="1:7" ht="14.25">
      <c r="A1694" s="3" t="str">
        <f>T("80047539")</f>
        <v>80047539</v>
      </c>
      <c r="B1694" s="14" t="s">
        <v>7141</v>
      </c>
      <c r="C1694" s="3" t="s">
        <v>1696</v>
      </c>
      <c r="D1694" s="3" t="str">
        <f>T("劉靜")</f>
        <v>劉靜</v>
      </c>
      <c r="E1694" s="3" t="str">
        <f>T("紫禁城")</f>
        <v>紫禁城</v>
      </c>
      <c r="F1694" s="3">
        <v>36</v>
      </c>
      <c r="G1694" s="3">
        <v>216</v>
      </c>
    </row>
    <row r="1695" spans="1:7" ht="14.25">
      <c r="A1695" s="3" t="str">
        <f>T("80047682")</f>
        <v>80047682</v>
      </c>
      <c r="B1695" s="14" t="s">
        <v>7144</v>
      </c>
      <c r="C1695" s="3" t="s">
        <v>1697</v>
      </c>
      <c r="D1695" s="3" t="str">
        <f>T("吳克敬著")</f>
        <v>吳克敬著</v>
      </c>
      <c r="E1695" s="3" t="str">
        <f>T("紫禁城")</f>
        <v>紫禁城</v>
      </c>
      <c r="F1695" s="3">
        <v>29</v>
      </c>
      <c r="G1695" s="3">
        <v>174</v>
      </c>
    </row>
    <row r="1696" spans="1:7" ht="14.25">
      <c r="A1696" s="3" t="str">
        <f>T("80047707")</f>
        <v>80047707</v>
      </c>
      <c r="B1696" s="14" t="s">
        <v>7147</v>
      </c>
      <c r="C1696" s="3" t="s">
        <v>1698</v>
      </c>
      <c r="D1696" s="3" t="str">
        <f>T("楊丹")</f>
        <v>楊丹</v>
      </c>
      <c r="E1696" s="3" t="str">
        <f>T("紫禁城")</f>
        <v>紫禁城</v>
      </c>
      <c r="F1696" s="3">
        <v>56</v>
      </c>
      <c r="G1696" s="3">
        <v>336</v>
      </c>
    </row>
    <row r="1697" spans="1:7" ht="14.25">
      <c r="A1697" s="3" t="str">
        <f>T("80047793")</f>
        <v>80047793</v>
      </c>
      <c r="B1697" s="14" t="s">
        <v>7150</v>
      </c>
      <c r="C1697" s="3" t="s">
        <v>1699</v>
      </c>
      <c r="D1697" s="3" t="str">
        <f>T("秦偉著")</f>
        <v>秦偉著</v>
      </c>
      <c r="E1697" s="3" t="str">
        <f>T("紫禁城")</f>
        <v>紫禁城</v>
      </c>
      <c r="F1697" s="3">
        <v>29</v>
      </c>
      <c r="G1697" s="3">
        <v>174</v>
      </c>
    </row>
    <row r="1698" spans="1:7" ht="14.25">
      <c r="A1698" s="3" t="str">
        <f>T("80047797")</f>
        <v>80047797</v>
      </c>
      <c r="B1698" s="14" t="s">
        <v>7153</v>
      </c>
      <c r="C1698" s="3" t="s">
        <v>1700</v>
      </c>
      <c r="D1698" s="3" t="str">
        <f>T("本社")</f>
        <v>本社</v>
      </c>
      <c r="E1698" s="3" t="str">
        <f>T("紫禁城")</f>
        <v>紫禁城</v>
      </c>
      <c r="F1698" s="3">
        <v>76</v>
      </c>
      <c r="G1698" s="3">
        <v>456</v>
      </c>
    </row>
    <row r="1699" spans="1:7" ht="14.25">
      <c r="A1699" s="3" t="str">
        <f>T("80047825")</f>
        <v>80047825</v>
      </c>
      <c r="B1699" s="14" t="s">
        <v>7155</v>
      </c>
      <c r="C1699" s="3" t="s">
        <v>1701</v>
      </c>
      <c r="D1699" s="3" t="str">
        <f>T("齊吉祥")</f>
        <v>齊吉祥</v>
      </c>
      <c r="E1699" s="3" t="str">
        <f>T("紫禁城")</f>
        <v>紫禁城</v>
      </c>
      <c r="F1699" s="3">
        <v>36</v>
      </c>
      <c r="G1699" s="3">
        <v>216</v>
      </c>
    </row>
    <row r="1700" spans="1:7" ht="14.25">
      <c r="A1700" s="3" t="str">
        <f>T("80047844")</f>
        <v>80047844</v>
      </c>
      <c r="B1700" s="14" t="s">
        <v>7158</v>
      </c>
      <c r="C1700" s="3" t="s">
        <v>1702</v>
      </c>
      <c r="D1700" s="3" t="str">
        <f>T("孫實明")</f>
        <v>孫實明</v>
      </c>
      <c r="E1700" s="3" t="str">
        <f>T("紫禁城")</f>
        <v>紫禁城</v>
      </c>
      <c r="F1700" s="3">
        <v>49</v>
      </c>
      <c r="G1700" s="3">
        <v>294</v>
      </c>
    </row>
    <row r="1701" spans="1:7" ht="14.25">
      <c r="A1701" s="3" t="str">
        <f>T("80047845")</f>
        <v>80047845</v>
      </c>
      <c r="B1701" s="14" t="s">
        <v>7161</v>
      </c>
      <c r="C1701" s="3" t="s">
        <v>1703</v>
      </c>
      <c r="D1701" s="3" t="str">
        <f>T("胡建中")</f>
        <v>胡建中</v>
      </c>
      <c r="E1701" s="3" t="str">
        <f>T("紫禁城")</f>
        <v>紫禁城</v>
      </c>
      <c r="F1701" s="3">
        <v>56</v>
      </c>
      <c r="G1701" s="3">
        <v>336</v>
      </c>
    </row>
    <row r="1702" spans="1:7" ht="14.25">
      <c r="A1702" s="3" t="str">
        <f>T("80047852")</f>
        <v>80047852</v>
      </c>
      <c r="B1702" s="14" t="s">
        <v>7164</v>
      </c>
      <c r="C1702" s="3" t="s">
        <v>1704</v>
      </c>
      <c r="D1702" s="3" t="str">
        <f>T("齊吉祥")</f>
        <v>齊吉祥</v>
      </c>
      <c r="E1702" s="3" t="str">
        <f>T("紫禁城")</f>
        <v>紫禁城</v>
      </c>
      <c r="F1702" s="3">
        <v>36</v>
      </c>
      <c r="G1702" s="3">
        <v>216</v>
      </c>
    </row>
    <row r="1703" spans="1:7" ht="14.25">
      <c r="A1703" s="3" t="str">
        <f>T("80047854")</f>
        <v>80047854</v>
      </c>
      <c r="B1703" s="14" t="s">
        <v>7166</v>
      </c>
      <c r="C1703" s="3" t="s">
        <v>1705</v>
      </c>
      <c r="D1703" s="3" t="str">
        <f>T("齊吉祥")</f>
        <v>齊吉祥</v>
      </c>
      <c r="E1703" s="3" t="str">
        <f>T("紫禁城")</f>
        <v>紫禁城</v>
      </c>
      <c r="F1703" s="3">
        <v>36</v>
      </c>
      <c r="G1703" s="3">
        <v>216</v>
      </c>
    </row>
    <row r="1704" spans="1:7" ht="14.25">
      <c r="A1704" s="3" t="str">
        <f>T("80047855")</f>
        <v>80047855</v>
      </c>
      <c r="B1704" s="14" t="s">
        <v>7168</v>
      </c>
      <c r="C1704" s="3" t="s">
        <v>1706</v>
      </c>
      <c r="D1704" s="3" t="str">
        <f>T("齊吉祥")</f>
        <v>齊吉祥</v>
      </c>
      <c r="E1704" s="3" t="str">
        <f>T("紫禁城")</f>
        <v>紫禁城</v>
      </c>
      <c r="F1704" s="3">
        <v>36</v>
      </c>
      <c r="G1704" s="3">
        <v>216</v>
      </c>
    </row>
    <row r="1705" spans="1:7" ht="14.25">
      <c r="A1705" s="3" t="str">
        <f>T("80047901")</f>
        <v>80047901</v>
      </c>
      <c r="B1705" s="14" t="s">
        <v>7170</v>
      </c>
      <c r="C1705" s="3" t="s">
        <v>1707</v>
      </c>
      <c r="D1705" s="3" t="str">
        <f>T("劉潞")</f>
        <v>劉潞</v>
      </c>
      <c r="E1705" s="3" t="str">
        <f>T("紫禁城")</f>
        <v>紫禁城</v>
      </c>
      <c r="F1705" s="3">
        <v>78</v>
      </c>
      <c r="G1705" s="3">
        <v>468</v>
      </c>
    </row>
    <row r="1706" spans="1:7" ht="14.25">
      <c r="A1706" s="3" t="str">
        <f>T("80047954")</f>
        <v>80047954</v>
      </c>
      <c r="B1706" s="14" t="s">
        <v>7173</v>
      </c>
      <c r="C1706" s="3" t="s">
        <v>1708</v>
      </c>
      <c r="D1706" s="3" t="str">
        <f>T("樸人. 著")</f>
        <v>樸人. 著</v>
      </c>
      <c r="E1706" s="3" t="str">
        <f>T("紫禁城")</f>
        <v>紫禁城</v>
      </c>
      <c r="F1706" s="3">
        <v>28</v>
      </c>
      <c r="G1706" s="3">
        <v>168</v>
      </c>
    </row>
    <row r="1707" spans="1:7" ht="14.25">
      <c r="A1707" s="3" t="str">
        <f>T("80060266")</f>
        <v>80060266</v>
      </c>
      <c r="B1707" s="14" t="s">
        <v>7176</v>
      </c>
      <c r="C1707" s="3" t="s">
        <v>1709</v>
      </c>
      <c r="D1707" s="3" t="str">
        <f>T("余江")</f>
        <v>余江</v>
      </c>
      <c r="E1707" s="3" t="str">
        <f>T("學苑")</f>
        <v>學苑</v>
      </c>
      <c r="F1707" s="3">
        <v>20</v>
      </c>
      <c r="G1707" s="3">
        <v>120</v>
      </c>
    </row>
    <row r="1708" spans="1:7" ht="14.25">
      <c r="A1708" s="3" t="str">
        <f>T("80060378")</f>
        <v>80060378</v>
      </c>
      <c r="B1708" s="14" t="s">
        <v>7179</v>
      </c>
      <c r="C1708" s="3" t="s">
        <v>1710</v>
      </c>
      <c r="D1708" s="3" t="str">
        <f>T("梁錫鋒著")</f>
        <v>梁錫鋒著</v>
      </c>
      <c r="E1708" s="3" t="str">
        <f>T("學苑")</f>
        <v>學苑</v>
      </c>
      <c r="F1708" s="3">
        <v>20</v>
      </c>
      <c r="G1708" s="3">
        <v>120</v>
      </c>
    </row>
    <row r="1709" spans="1:7" ht="14.25">
      <c r="A1709" s="3" t="str">
        <f>T("80060424")</f>
        <v>80060424</v>
      </c>
      <c r="B1709" s="14" t="s">
        <v>7182</v>
      </c>
      <c r="C1709" s="3" t="s">
        <v>1711</v>
      </c>
      <c r="D1709" s="3" t="str">
        <f>T("程方平")</f>
        <v>程方平</v>
      </c>
      <c r="E1709" s="3" t="str">
        <f>T("學苑")</f>
        <v>學苑</v>
      </c>
      <c r="F1709" s="3">
        <v>60</v>
      </c>
      <c r="G1709" s="3">
        <v>360</v>
      </c>
    </row>
    <row r="1710" spans="1:7" ht="14.25">
      <c r="A1710" s="3" t="str">
        <f>T("80080654")</f>
        <v>80080654</v>
      </c>
      <c r="B1710" s="14" t="s">
        <v>7185</v>
      </c>
      <c r="C1710" s="3" t="s">
        <v>1712</v>
      </c>
      <c r="D1710" s="3" t="str">
        <f>T("嘉興市文化廣電新聞出版局")</f>
        <v>嘉興市文化廣電新聞出版局</v>
      </c>
      <c r="E1710" s="3" t="str">
        <f>T("群言")</f>
        <v>群言</v>
      </c>
      <c r="F1710" s="3">
        <v>95</v>
      </c>
      <c r="G1710" s="3">
        <v>570</v>
      </c>
    </row>
    <row r="1711" spans="1:7" ht="14.25">
      <c r="A1711" s="3" t="str">
        <f>T("80080889")</f>
        <v>80080889</v>
      </c>
      <c r="B1711" s="14" t="s">
        <v>7189</v>
      </c>
      <c r="C1711" s="3" t="s">
        <v>1713</v>
      </c>
      <c r="D1711" s="3" t="str">
        <f>T("沈鈞儒")</f>
        <v>沈鈞儒</v>
      </c>
      <c r="E1711" s="3" t="str">
        <f>T("群言")</f>
        <v>群言</v>
      </c>
      <c r="F1711" s="3">
        <v>48</v>
      </c>
      <c r="G1711" s="3">
        <v>288</v>
      </c>
    </row>
    <row r="1712" spans="1:7" ht="14.25">
      <c r="A1712" s="3" t="str">
        <f>T("80080894")</f>
        <v>80080894</v>
      </c>
      <c r="B1712" s="14" t="s">
        <v>7192</v>
      </c>
      <c r="C1712" s="3" t="s">
        <v>1714</v>
      </c>
      <c r="D1712" s="3" t="str">
        <f>T("麻星甫")</f>
        <v>麻星甫</v>
      </c>
      <c r="E1712" s="3" t="str">
        <f>T("群言")</f>
        <v>群言</v>
      </c>
      <c r="F1712" s="3">
        <v>22</v>
      </c>
      <c r="G1712" s="3">
        <v>132</v>
      </c>
    </row>
    <row r="1713" spans="1:7" ht="14.25">
      <c r="A1713" s="3" t="str">
        <f>T("80080907")</f>
        <v>80080907</v>
      </c>
      <c r="B1713" s="14" t="s">
        <v>7195</v>
      </c>
      <c r="C1713" s="3" t="s">
        <v>1715</v>
      </c>
      <c r="D1713" s="3" t="str">
        <f>T("艾米")</f>
        <v>艾米</v>
      </c>
      <c r="E1713" s="3" t="str">
        <f>T("群言")</f>
        <v>群言</v>
      </c>
      <c r="F1713" s="3">
        <v>29.8</v>
      </c>
      <c r="G1713" s="3">
        <v>179</v>
      </c>
    </row>
    <row r="1714" spans="1:7" ht="14.25">
      <c r="A1714" s="3" t="str">
        <f>T("80080935")</f>
        <v>80080935</v>
      </c>
      <c r="B1714" s="14" t="s">
        <v>7198</v>
      </c>
      <c r="C1714" s="3" t="s">
        <v>1716</v>
      </c>
      <c r="D1714" s="3" t="str">
        <f>T("張魯原")</f>
        <v>張魯原</v>
      </c>
      <c r="E1714" s="3" t="str">
        <f>T("群言")</f>
        <v>群言</v>
      </c>
      <c r="F1714" s="3">
        <v>26</v>
      </c>
      <c r="G1714" s="3">
        <v>156</v>
      </c>
    </row>
    <row r="1715" spans="1:7" ht="14.25">
      <c r="A1715" s="3" t="str">
        <f>T("80080989")</f>
        <v>80080989</v>
      </c>
      <c r="B1715" s="14" t="s">
        <v>7201</v>
      </c>
      <c r="C1715" s="3" t="s">
        <v>1717</v>
      </c>
      <c r="D1715" s="3" t="str">
        <f>T("于友")</f>
        <v>于友</v>
      </c>
      <c r="E1715" s="3" t="str">
        <f>T("群言")</f>
        <v>群言</v>
      </c>
      <c r="F1715" s="3">
        <v>24</v>
      </c>
      <c r="G1715" s="3">
        <v>144</v>
      </c>
    </row>
    <row r="1716" spans="1:7" ht="14.25">
      <c r="A1716" s="3" t="str">
        <f>T("80094241")</f>
        <v>80094241</v>
      </c>
      <c r="B1716" s="14" t="s">
        <v>7204</v>
      </c>
      <c r="C1716" s="3" t="s">
        <v>1718</v>
      </c>
      <c r="D1716" s="3" t="str">
        <f>T("黃斌著")</f>
        <v>黃斌著</v>
      </c>
      <c r="E1716" s="3" t="str">
        <f>T("大眾文藝")</f>
        <v>大眾文藝</v>
      </c>
      <c r="F1716" s="3">
        <v>29.8</v>
      </c>
      <c r="G1716" s="3">
        <v>179</v>
      </c>
    </row>
    <row r="1717" spans="1:7" ht="14.25">
      <c r="A1717" s="3" t="str">
        <f>T("80103019")</f>
        <v>80103019</v>
      </c>
      <c r="B1717" s="14" t="s">
        <v>7208</v>
      </c>
      <c r="C1717" s="3" t="s">
        <v>1719</v>
      </c>
      <c r="D1717" s="3" t="str">
        <f>T("王玉波")</f>
        <v>王玉波</v>
      </c>
      <c r="E1717" s="3" t="str">
        <f>T("商務國際")</f>
        <v>商務國際</v>
      </c>
      <c r="F1717" s="3">
        <v>12.5</v>
      </c>
      <c r="G1717" s="3">
        <v>75</v>
      </c>
    </row>
    <row r="1718" spans="1:7" ht="14.25">
      <c r="A1718" s="3" t="str">
        <f>T("80103036")</f>
        <v>80103036</v>
      </c>
      <c r="B1718" s="14" t="s">
        <v>7212</v>
      </c>
      <c r="C1718" s="3" t="s">
        <v>1720</v>
      </c>
      <c r="D1718" s="3" t="str">
        <f>T("張紅善")</f>
        <v>張紅善</v>
      </c>
      <c r="E1718" s="3" t="str">
        <f>T("商務國際")</f>
        <v>商務國際</v>
      </c>
      <c r="F1718" s="3">
        <v>10</v>
      </c>
      <c r="G1718" s="3">
        <v>60</v>
      </c>
    </row>
    <row r="1719" spans="1:7" ht="14.25">
      <c r="A1719" s="3" t="str">
        <f>T("80105734")</f>
        <v>80105734</v>
      </c>
      <c r="B1719" s="14" t="s">
        <v>7215</v>
      </c>
      <c r="C1719" s="3" t="s">
        <v>1721</v>
      </c>
      <c r="D1719" s="3" t="str">
        <f>T("佛洛德")</f>
        <v>佛洛德</v>
      </c>
      <c r="E1719" s="3" t="str">
        <f>T("國際文化")</f>
        <v>國際文化</v>
      </c>
      <c r="F1719" s="3">
        <v>22</v>
      </c>
      <c r="G1719" s="3">
        <v>132</v>
      </c>
    </row>
    <row r="1720" spans="1:7" ht="14.25">
      <c r="A1720" s="3" t="str">
        <f>T("80106148")</f>
        <v>80106148</v>
      </c>
      <c r="B1720" s="14" t="s">
        <v>7219</v>
      </c>
      <c r="C1720" s="3" t="s">
        <v>1722</v>
      </c>
      <c r="D1720" s="3" t="str">
        <f>T("編委會")</f>
        <v>編委會</v>
      </c>
      <c r="E1720" s="3" t="str">
        <f>T("線裝書局")</f>
        <v>線裝書局</v>
      </c>
      <c r="F1720" s="3">
        <v>1080</v>
      </c>
      <c r="G1720" s="3">
        <v>6480</v>
      </c>
    </row>
    <row r="1721" spans="1:7" ht="14.25">
      <c r="A1721" s="3" t="str">
        <f>T("80106240")</f>
        <v>80106240</v>
      </c>
      <c r="B1721" s="14" t="s">
        <v>7222</v>
      </c>
      <c r="C1721" s="3" t="s">
        <v>1723</v>
      </c>
      <c r="D1721" s="3" t="str">
        <f>T("編委會")</f>
        <v>編委會</v>
      </c>
      <c r="E1721" s="3" t="str">
        <f>T("線裝書局")</f>
        <v>線裝書局</v>
      </c>
      <c r="F1721" s="3">
        <v>1600</v>
      </c>
      <c r="G1721" s="3">
        <v>9600</v>
      </c>
    </row>
    <row r="1722" spans="1:7" ht="14.25">
      <c r="A1722" s="3" t="str">
        <f>T("80106392")</f>
        <v>80106392</v>
      </c>
      <c r="B1722" s="14" t="s">
        <v>7224</v>
      </c>
      <c r="C1722" s="3" t="s">
        <v>1724</v>
      </c>
      <c r="D1722" s="3" t="str">
        <f>T("編委會")</f>
        <v>編委會</v>
      </c>
      <c r="E1722" s="3" t="str">
        <f>T("線裝書局")</f>
        <v>線裝書局</v>
      </c>
      <c r="F1722" s="3">
        <v>1200</v>
      </c>
      <c r="G1722" s="3">
        <v>7200</v>
      </c>
    </row>
    <row r="1723" spans="1:7" ht="14.25">
      <c r="A1723" s="3" t="str">
        <f>T("80106757")</f>
        <v>80106757</v>
      </c>
      <c r="B1723" s="14" t="s">
        <v>7226</v>
      </c>
      <c r="C1723" s="3" t="s">
        <v>1725</v>
      </c>
      <c r="D1723" s="3" t="str">
        <f>T("陳君慧")</f>
        <v>陳君慧</v>
      </c>
      <c r="E1723" s="3" t="str">
        <f>T("線裝書局")</f>
        <v>線裝書局</v>
      </c>
      <c r="F1723" s="3">
        <v>198</v>
      </c>
      <c r="G1723" s="3">
        <v>1188</v>
      </c>
    </row>
    <row r="1724" spans="1:7" ht="14.25">
      <c r="A1724" s="3" t="str">
        <f>T("80114851")</f>
        <v>80114851</v>
      </c>
      <c r="B1724" s="14" t="s">
        <v>7229</v>
      </c>
      <c r="C1724" s="3" t="s">
        <v>1726</v>
      </c>
      <c r="D1724" s="3" t="str">
        <f>T("李鼎祚撰[唐]")</f>
        <v>李鼎祚撰[唐]</v>
      </c>
      <c r="E1724" s="3" t="str">
        <f>T("九州")</f>
        <v>九州</v>
      </c>
      <c r="F1724" s="3">
        <v>78</v>
      </c>
      <c r="G1724" s="3">
        <v>468</v>
      </c>
    </row>
    <row r="1725" spans="1:7" ht="14.25">
      <c r="A1725" s="3" t="str">
        <f>T("80115801")</f>
        <v>80115801</v>
      </c>
      <c r="B1725" s="14" t="s">
        <v>7233</v>
      </c>
      <c r="C1725" s="3" t="s">
        <v>1727</v>
      </c>
      <c r="D1725" s="3" t="str">
        <f>T("馮政")</f>
        <v>馮政</v>
      </c>
      <c r="E1725" s="3" t="str">
        <f>T("當代世界")</f>
        <v>當代世界</v>
      </c>
      <c r="F1725" s="3">
        <v>19.8</v>
      </c>
      <c r="G1725" s="3">
        <v>119</v>
      </c>
    </row>
    <row r="1726" spans="1:7" ht="14.25">
      <c r="A1726" s="3" t="str">
        <f>T("80116978")</f>
        <v>80116978</v>
      </c>
      <c r="B1726" s="14" t="s">
        <v>2236</v>
      </c>
      <c r="C1726" s="3" t="s">
        <v>1728</v>
      </c>
      <c r="D1726" s="3" t="str">
        <f>T("李冬君")</f>
        <v>李冬君</v>
      </c>
      <c r="E1726" s="3" t="str">
        <f>T("學習")</f>
        <v>學習</v>
      </c>
      <c r="F1726" s="3">
        <v>25.8</v>
      </c>
      <c r="G1726" s="3">
        <v>155</v>
      </c>
    </row>
    <row r="1727" spans="1:7" ht="14.25">
      <c r="A1727" s="3" t="str">
        <f>T("80130969")</f>
        <v>80130969</v>
      </c>
      <c r="B1727" s="14" t="s">
        <v>7239</v>
      </c>
      <c r="C1727" s="3" t="s">
        <v>1729</v>
      </c>
      <c r="D1727" s="3">
        <f>T("")</f>
      </c>
      <c r="E1727" s="3" t="str">
        <f>T("團結")</f>
        <v>團結</v>
      </c>
      <c r="F1727" s="3">
        <v>29.8</v>
      </c>
      <c r="G1727" s="3">
        <v>180</v>
      </c>
    </row>
    <row r="1728" spans="1:7" ht="14.25">
      <c r="A1728" s="3" t="str">
        <f>T("80140577")</f>
        <v>80140577</v>
      </c>
      <c r="B1728" s="14" t="s">
        <v>7242</v>
      </c>
      <c r="C1728" s="3" t="s">
        <v>1730</v>
      </c>
      <c r="D1728" s="3" t="str">
        <f>T("喬安山口述")</f>
        <v>喬安山口述</v>
      </c>
      <c r="E1728" s="3" t="str">
        <f>T("國家行政")</f>
        <v>國家行政</v>
      </c>
      <c r="F1728" s="3">
        <v>19.8</v>
      </c>
      <c r="G1728" s="3">
        <v>119</v>
      </c>
    </row>
    <row r="1729" spans="1:7" ht="14.25">
      <c r="A1729" s="3" t="str">
        <f>T("80145921")</f>
        <v>80145921</v>
      </c>
      <c r="B1729" s="14" t="s">
        <v>7250</v>
      </c>
      <c r="C1729" s="3" t="s">
        <v>1731</v>
      </c>
      <c r="D1729" s="3" t="str">
        <f>T("黎娜")</f>
        <v>黎娜</v>
      </c>
      <c r="E1729" s="3" t="str">
        <f>T("光明日報")</f>
        <v>光明日報</v>
      </c>
      <c r="F1729" s="3">
        <v>29.8</v>
      </c>
      <c r="G1729" s="3">
        <v>179</v>
      </c>
    </row>
    <row r="1730" spans="1:7" ht="14.25">
      <c r="A1730" s="3" t="str">
        <f>T("80145946")</f>
        <v>80145946</v>
      </c>
      <c r="B1730" s="14" t="s">
        <v>7253</v>
      </c>
      <c r="C1730" s="3" t="s">
        <v>1732</v>
      </c>
      <c r="D1730" s="3" t="str">
        <f>T("張立浩")</f>
        <v>張立浩</v>
      </c>
      <c r="E1730" s="3" t="str">
        <f>T("光明日報")</f>
        <v>光明日報</v>
      </c>
      <c r="F1730" s="3">
        <v>23.8</v>
      </c>
      <c r="G1730" s="3">
        <v>143</v>
      </c>
    </row>
    <row r="1731" spans="1:7" ht="14.25">
      <c r="A1731" s="3" t="str">
        <f>T("80168556")</f>
        <v>80168556</v>
      </c>
      <c r="B1731" s="14" t="s">
        <v>7256</v>
      </c>
      <c r="C1731" s="3" t="s">
        <v>1733</v>
      </c>
      <c r="D1731" s="3" t="str">
        <f>T("王少華. 編著")</f>
        <v>王少華. 編著</v>
      </c>
      <c r="E1731" s="3" t="str">
        <f>T("研究")</f>
        <v>研究</v>
      </c>
      <c r="F1731" s="3">
        <v>30</v>
      </c>
      <c r="G1731" s="3">
        <v>180</v>
      </c>
    </row>
    <row r="1732" spans="1:7" ht="14.25">
      <c r="A1732" s="3" t="str">
        <f>T("80168557")</f>
        <v>80168557</v>
      </c>
      <c r="B1732" s="14" t="s">
        <v>7260</v>
      </c>
      <c r="C1732" s="3" t="s">
        <v>1734</v>
      </c>
      <c r="D1732" s="3" t="str">
        <f>T("王平. 編著")</f>
        <v>王平. 編著</v>
      </c>
      <c r="E1732" s="3" t="str">
        <f>T("研究")</f>
        <v>研究</v>
      </c>
      <c r="F1732" s="3">
        <v>30</v>
      </c>
      <c r="G1732" s="3">
        <v>180</v>
      </c>
    </row>
    <row r="1733" spans="1:7" ht="14.25">
      <c r="A1733" s="3" t="str">
        <f>T("80168558")</f>
        <v>80168558</v>
      </c>
      <c r="B1733" s="14" t="s">
        <v>7263</v>
      </c>
      <c r="C1733" s="3" t="s">
        <v>1735</v>
      </c>
      <c r="D1733" s="3" t="str">
        <f>T("梁立中. 編著")</f>
        <v>梁立中. 編著</v>
      </c>
      <c r="E1733" s="3" t="str">
        <f>T("研究")</f>
        <v>研究</v>
      </c>
      <c r="F1733" s="3">
        <v>30</v>
      </c>
      <c r="G1733" s="3">
        <v>180</v>
      </c>
    </row>
    <row r="1734" spans="1:7" ht="14.25">
      <c r="A1734" s="3" t="str">
        <f>T("80168560")</f>
        <v>80168560</v>
      </c>
      <c r="B1734" s="14" t="s">
        <v>7266</v>
      </c>
      <c r="C1734" s="3" t="s">
        <v>1736</v>
      </c>
      <c r="D1734" s="3" t="str">
        <f>T("李躍華. 編著")</f>
        <v>李躍華. 編著</v>
      </c>
      <c r="E1734" s="3" t="str">
        <f>T("研究")</f>
        <v>研究</v>
      </c>
      <c r="F1734" s="3">
        <v>30</v>
      </c>
      <c r="G1734" s="3">
        <v>180</v>
      </c>
    </row>
    <row r="1735" spans="1:7" ht="14.25">
      <c r="A1735" s="3" t="str">
        <f>T("80168561")</f>
        <v>80168561</v>
      </c>
      <c r="B1735" s="14" t="s">
        <v>7269</v>
      </c>
      <c r="C1735" s="3" t="s">
        <v>1737</v>
      </c>
      <c r="D1735" s="3" t="str">
        <f>T("雷大豔. 編著")</f>
        <v>雷大豔. 編著</v>
      </c>
      <c r="E1735" s="3" t="str">
        <f>T("研究")</f>
        <v>研究</v>
      </c>
      <c r="F1735" s="3">
        <v>30</v>
      </c>
      <c r="G1735" s="3">
        <v>180</v>
      </c>
    </row>
    <row r="1736" spans="1:7" ht="14.25">
      <c r="A1736" s="3" t="str">
        <f>T("80168563")</f>
        <v>80168563</v>
      </c>
      <c r="B1736" s="14" t="s">
        <v>7272</v>
      </c>
      <c r="C1736" s="3" t="s">
        <v>1738</v>
      </c>
      <c r="D1736" s="3" t="str">
        <f>T("張易柳. 編著")</f>
        <v>張易柳. 編著</v>
      </c>
      <c r="E1736" s="3" t="str">
        <f>T("研究")</f>
        <v>研究</v>
      </c>
      <c r="F1736" s="3">
        <v>30</v>
      </c>
      <c r="G1736" s="3">
        <v>180</v>
      </c>
    </row>
    <row r="1737" spans="1:7" ht="14.25">
      <c r="A1737" s="3" t="str">
        <f>T("80168565")</f>
        <v>80168565</v>
      </c>
      <c r="B1737" s="14" t="s">
        <v>7275</v>
      </c>
      <c r="C1737" s="3" t="s">
        <v>1739</v>
      </c>
      <c r="D1737" s="3" t="str">
        <f>T("張智輝. 編著")</f>
        <v>張智輝. 編著</v>
      </c>
      <c r="E1737" s="3" t="str">
        <f>T("研究")</f>
        <v>研究</v>
      </c>
      <c r="F1737" s="3">
        <v>30</v>
      </c>
      <c r="G1737" s="3">
        <v>180</v>
      </c>
    </row>
    <row r="1738" spans="1:7" ht="14.25">
      <c r="A1738" s="3" t="str">
        <f>T("80170668")</f>
        <v>80170668</v>
      </c>
      <c r="B1738" s="14" t="s">
        <v>7278</v>
      </c>
      <c r="C1738" s="3" t="s">
        <v>1740</v>
      </c>
      <c r="D1738" s="3" t="str">
        <f>T("劉緒義")</f>
        <v>劉緒義</v>
      </c>
      <c r="E1738" s="3" t="str">
        <f>T("當代中國")</f>
        <v>當代中國</v>
      </c>
      <c r="F1738" s="3">
        <v>28</v>
      </c>
      <c r="G1738" s="3">
        <v>168</v>
      </c>
    </row>
    <row r="1739" spans="1:7" ht="14.25">
      <c r="A1739" s="3" t="str">
        <f>T("80170689")</f>
        <v>80170689</v>
      </c>
      <c r="B1739" s="14" t="s">
        <v>7282</v>
      </c>
      <c r="C1739" s="3" t="s">
        <v>1741</v>
      </c>
      <c r="D1739" s="3" t="str">
        <f>T("編委")</f>
        <v>編委</v>
      </c>
      <c r="E1739" s="3" t="str">
        <f>T("當代中國")</f>
        <v>當代中國</v>
      </c>
      <c r="F1739" s="3">
        <v>23</v>
      </c>
      <c r="G1739" s="3">
        <v>138</v>
      </c>
    </row>
    <row r="1740" spans="1:7" ht="14.25">
      <c r="A1740" s="3" t="str">
        <f>T("80170740")</f>
        <v>80170740</v>
      </c>
      <c r="B1740" s="14" t="s">
        <v>7284</v>
      </c>
      <c r="C1740" s="3" t="s">
        <v>1742</v>
      </c>
      <c r="D1740" s="3" t="str">
        <f>T("郭建著")</f>
        <v>郭建著</v>
      </c>
      <c r="E1740" s="3" t="str">
        <f>T("當代中國")</f>
        <v>當代中國</v>
      </c>
      <c r="F1740" s="3">
        <v>20</v>
      </c>
      <c r="G1740" s="3">
        <v>120</v>
      </c>
    </row>
    <row r="1741" spans="1:7" ht="14.25">
      <c r="A1741" s="3" t="str">
        <f>T("80170821")</f>
        <v>80170821</v>
      </c>
      <c r="B1741" s="14" t="s">
        <v>7287</v>
      </c>
      <c r="C1741" s="3" t="s">
        <v>1743</v>
      </c>
      <c r="D1741" s="3" t="str">
        <f>T("江上漁")</f>
        <v>江上漁</v>
      </c>
      <c r="E1741" s="3" t="str">
        <f>T("當代中國")</f>
        <v>當代中國</v>
      </c>
      <c r="F1741" s="3">
        <v>29</v>
      </c>
      <c r="G1741" s="3">
        <v>174</v>
      </c>
    </row>
    <row r="1742" spans="1:7" ht="14.25">
      <c r="A1742" s="3" t="str">
        <f>T("80170822")</f>
        <v>80170822</v>
      </c>
      <c r="B1742" s="14" t="s">
        <v>7290</v>
      </c>
      <c r="C1742" s="3" t="s">
        <v>1744</v>
      </c>
      <c r="D1742" s="3" t="str">
        <f>T("季濤")</f>
        <v>季濤</v>
      </c>
      <c r="E1742" s="3" t="str">
        <f>T("當代中國")</f>
        <v>當代中國</v>
      </c>
      <c r="F1742" s="3">
        <v>36</v>
      </c>
      <c r="G1742" s="3">
        <v>216</v>
      </c>
    </row>
    <row r="1743" spans="1:7" ht="14.25">
      <c r="A1743" s="3" t="str">
        <f>T("80170824")</f>
        <v>80170824</v>
      </c>
      <c r="B1743" s="14" t="s">
        <v>7293</v>
      </c>
      <c r="C1743" s="3" t="s">
        <v>1745</v>
      </c>
      <c r="D1743" s="3" t="str">
        <f>T("丁世華著")</f>
        <v>丁世華著</v>
      </c>
      <c r="E1743" s="3" t="str">
        <f>T("當代中國")</f>
        <v>當代中國</v>
      </c>
      <c r="F1743" s="3">
        <v>22</v>
      </c>
      <c r="G1743" s="3">
        <v>132</v>
      </c>
    </row>
    <row r="1744" spans="1:7" ht="14.25">
      <c r="A1744" s="3" t="str">
        <f>T("80170836")</f>
        <v>80170836</v>
      </c>
      <c r="B1744" s="14" t="s">
        <v>7296</v>
      </c>
      <c r="C1744" s="3" t="s">
        <v>1746</v>
      </c>
      <c r="D1744" s="3" t="str">
        <f>T("周鷹")</f>
        <v>周鷹</v>
      </c>
      <c r="E1744" s="3" t="str">
        <f>T("當代中國")</f>
        <v>當代中國</v>
      </c>
      <c r="F1744" s="3">
        <v>50</v>
      </c>
      <c r="G1744" s="3">
        <v>300</v>
      </c>
    </row>
    <row r="1745" spans="1:7" ht="14.25">
      <c r="A1745" s="3" t="str">
        <f>T("80170853")</f>
        <v>80170853</v>
      </c>
      <c r="B1745" s="14" t="s">
        <v>7299</v>
      </c>
      <c r="C1745" s="3" t="s">
        <v>1747</v>
      </c>
      <c r="D1745" s="3" t="str">
        <f>T("馬建安")</f>
        <v>馬建安</v>
      </c>
      <c r="E1745" s="3" t="str">
        <f>T("當代中國")</f>
        <v>當代中國</v>
      </c>
      <c r="F1745" s="3">
        <v>25</v>
      </c>
      <c r="G1745" s="3">
        <v>150</v>
      </c>
    </row>
    <row r="1746" spans="1:7" ht="14.25">
      <c r="A1746" s="3" t="str">
        <f>T("80170878")</f>
        <v>80170878</v>
      </c>
      <c r="B1746" s="14" t="s">
        <v>7302</v>
      </c>
      <c r="C1746" s="3" t="s">
        <v>1748</v>
      </c>
      <c r="D1746" s="3" t="str">
        <f>T("柯小衛")</f>
        <v>柯小衛</v>
      </c>
      <c r="E1746" s="3" t="str">
        <f>T("當代中國")</f>
        <v>當代中國</v>
      </c>
      <c r="F1746" s="3">
        <v>26</v>
      </c>
      <c r="G1746" s="3">
        <v>156</v>
      </c>
    </row>
    <row r="1747" spans="1:7" ht="14.25">
      <c r="A1747" s="3" t="str">
        <f>T("80173854")</f>
        <v>80173854</v>
      </c>
      <c r="B1747" s="14" t="s">
        <v>7305</v>
      </c>
      <c r="C1747" s="3" t="s">
        <v>1749</v>
      </c>
      <c r="D1747" s="3" t="str">
        <f>T("魏風華")</f>
        <v>魏風華</v>
      </c>
      <c r="E1747" s="3" t="str">
        <f>T("國際文化")</f>
        <v>國際文化</v>
      </c>
      <c r="F1747" s="3">
        <v>26.8</v>
      </c>
      <c r="G1747" s="3">
        <v>161</v>
      </c>
    </row>
    <row r="1748" spans="1:7" ht="14.25">
      <c r="A1748" s="3" t="str">
        <f>T("80175909")</f>
        <v>80175909</v>
      </c>
      <c r="B1748" s="14" t="s">
        <v>7308</v>
      </c>
      <c r="C1748" s="3" t="s">
        <v>1750</v>
      </c>
      <c r="D1748" s="3" t="str">
        <f>T("孔慶東")</f>
        <v>孔慶東</v>
      </c>
      <c r="E1748" s="3" t="str">
        <f>T("中國長安")</f>
        <v>中國長安</v>
      </c>
      <c r="F1748" s="3">
        <v>26</v>
      </c>
      <c r="G1748" s="3">
        <v>156</v>
      </c>
    </row>
    <row r="1749" spans="1:7" ht="14.25">
      <c r="A1749" s="3" t="str">
        <f>T("80175996")</f>
        <v>80175996</v>
      </c>
      <c r="B1749" s="14" t="s">
        <v>7310</v>
      </c>
      <c r="C1749" s="3" t="s">
        <v>1751</v>
      </c>
      <c r="D1749" s="3" t="str">
        <f>T("司馬哲編著")</f>
        <v>司馬哲編著</v>
      </c>
      <c r="E1749" s="3" t="str">
        <f>T("中國長安")</f>
        <v>中國長安</v>
      </c>
      <c r="F1749" s="3">
        <v>39.8</v>
      </c>
      <c r="G1749" s="3">
        <v>239</v>
      </c>
    </row>
    <row r="1750" spans="1:7" ht="14.25">
      <c r="A1750" s="3" t="str">
        <f>T("80178322")</f>
        <v>80178322</v>
      </c>
      <c r="B1750" s="14" t="s">
        <v>7313</v>
      </c>
      <c r="C1750" s="3" t="s">
        <v>1752</v>
      </c>
      <c r="D1750" s="3" t="str">
        <f>T("大成")</f>
        <v>大成</v>
      </c>
      <c r="E1750" s="3" t="str">
        <f>T("華齡")</f>
        <v>華齡</v>
      </c>
      <c r="F1750" s="3">
        <v>90</v>
      </c>
      <c r="G1750" s="3">
        <v>540</v>
      </c>
    </row>
    <row r="1751" spans="1:7" ht="14.25">
      <c r="A1751" s="3" t="str">
        <f>T("80178557")</f>
        <v>80178557</v>
      </c>
      <c r="B1751" s="14" t="s">
        <v>7317</v>
      </c>
      <c r="C1751" s="3" t="s">
        <v>1753</v>
      </c>
      <c r="D1751" s="3" t="str">
        <f>T("張學蒼")</f>
        <v>張學蒼</v>
      </c>
      <c r="E1751" s="3" t="str">
        <f>T("華齡")</f>
        <v>華齡</v>
      </c>
      <c r="F1751" s="3">
        <v>90</v>
      </c>
      <c r="G1751" s="3">
        <v>540</v>
      </c>
    </row>
    <row r="1752" spans="1:7" ht="14.25">
      <c r="A1752" s="3" t="str">
        <f>T("80180122")</f>
        <v>80180122</v>
      </c>
      <c r="B1752" s="14" t="s">
        <v>7320</v>
      </c>
      <c r="C1752" s="3" t="s">
        <v>1754</v>
      </c>
      <c r="D1752" s="3" t="str">
        <f>T("李鵬程")</f>
        <v>李鵬程</v>
      </c>
      <c r="E1752" s="3" t="str">
        <f>T("經濟日報")</f>
        <v>經濟日報</v>
      </c>
      <c r="F1752" s="3">
        <v>28</v>
      </c>
      <c r="G1752" s="3">
        <v>168</v>
      </c>
    </row>
    <row r="1753" spans="1:7" ht="14.25">
      <c r="A1753" s="3" t="str">
        <f>T("80186406")</f>
        <v>80186406</v>
      </c>
      <c r="B1753" s="14" t="s">
        <v>7324</v>
      </c>
      <c r="C1753" s="3" t="s">
        <v>1755</v>
      </c>
      <c r="D1753" s="3" t="str">
        <f>T("黃霖")</f>
        <v>黃霖</v>
      </c>
      <c r="E1753" s="3" t="str">
        <f>T("東方中心")</f>
        <v>東方中心</v>
      </c>
      <c r="F1753" s="3">
        <v>47</v>
      </c>
      <c r="G1753" s="3">
        <v>282</v>
      </c>
    </row>
    <row r="1754" spans="1:7" ht="14.25">
      <c r="A1754" s="3" t="str">
        <f>T("80186480")</f>
        <v>80186480</v>
      </c>
      <c r="B1754" s="14" t="s">
        <v>7327</v>
      </c>
      <c r="C1754" s="3" t="s">
        <v>1756</v>
      </c>
      <c r="D1754" s="3" t="str">
        <f>T("曾紀鑫")</f>
        <v>曾紀鑫</v>
      </c>
      <c r="E1754" s="3" t="str">
        <f>T("東方中心")</f>
        <v>東方中心</v>
      </c>
      <c r="F1754" s="3">
        <v>22</v>
      </c>
      <c r="G1754" s="3">
        <v>132</v>
      </c>
    </row>
    <row r="1755" spans="1:7" ht="14.25">
      <c r="A1755" s="3" t="str">
        <f>T("80186551")</f>
        <v>80186551</v>
      </c>
      <c r="B1755" s="14" t="s">
        <v>7330</v>
      </c>
      <c r="C1755" s="3" t="s">
        <v>1757</v>
      </c>
      <c r="D1755" s="3">
        <f>T("")</f>
      </c>
      <c r="E1755" s="3" t="str">
        <f>T("東方出版")</f>
        <v>東方出版</v>
      </c>
      <c r="F1755" s="3">
        <v>24000</v>
      </c>
      <c r="G1755" s="3">
        <v>144000</v>
      </c>
    </row>
    <row r="1756" spans="1:7" ht="14.25">
      <c r="A1756" s="3" t="str">
        <f>T("80186825")</f>
        <v>80186825</v>
      </c>
      <c r="B1756" s="14" t="s">
        <v>7333</v>
      </c>
      <c r="C1756" s="3" t="s">
        <v>1758</v>
      </c>
      <c r="D1756" s="3" t="str">
        <f>T("儲兆文")</f>
        <v>儲兆文</v>
      </c>
      <c r="E1756" s="3" t="str">
        <f>T("東方中心")</f>
        <v>東方中心</v>
      </c>
      <c r="F1756" s="3">
        <v>36</v>
      </c>
      <c r="G1756" s="3">
        <v>216</v>
      </c>
    </row>
    <row r="1757" spans="1:7" ht="14.25">
      <c r="A1757" s="3" t="str">
        <f>T("80186892")</f>
        <v>80186892</v>
      </c>
      <c r="B1757" s="14" t="s">
        <v>2236</v>
      </c>
      <c r="C1757" s="3" t="s">
        <v>1759</v>
      </c>
      <c r="D1757" s="3" t="str">
        <f>T("林蘊暉")</f>
        <v>林蘊暉</v>
      </c>
      <c r="E1757" s="3" t="str">
        <f>T("東方出版")</f>
        <v>東方出版</v>
      </c>
      <c r="F1757" s="3">
        <v>40</v>
      </c>
      <c r="G1757" s="3">
        <v>240</v>
      </c>
    </row>
    <row r="1758" spans="1:7" ht="14.25">
      <c r="A1758" s="3" t="str">
        <f>T("80186908")</f>
        <v>80186908</v>
      </c>
      <c r="B1758" s="14" t="s">
        <v>7338</v>
      </c>
      <c r="C1758" s="3" t="s">
        <v>1760</v>
      </c>
      <c r="D1758" s="3" t="str">
        <f>T("陳祖武")</f>
        <v>陳祖武</v>
      </c>
      <c r="E1758" s="3" t="str">
        <f>T("東方中心")</f>
        <v>東方中心</v>
      </c>
      <c r="F1758" s="3">
        <v>40</v>
      </c>
      <c r="G1758" s="3">
        <v>240</v>
      </c>
    </row>
    <row r="1759" spans="1:7" ht="14.25">
      <c r="A1759" s="3" t="str">
        <f>T("80186980")</f>
        <v>80186980</v>
      </c>
      <c r="B1759" s="14" t="s">
        <v>7341</v>
      </c>
      <c r="C1759" s="3" t="s">
        <v>1761</v>
      </c>
      <c r="D1759" s="3" t="str">
        <f>T("鄭時齡")</f>
        <v>鄭時齡</v>
      </c>
      <c r="E1759" s="3" t="str">
        <f>T("東方中心")</f>
        <v>東方中心</v>
      </c>
      <c r="F1759" s="3">
        <v>38</v>
      </c>
      <c r="G1759" s="3">
        <v>228</v>
      </c>
    </row>
    <row r="1760" spans="1:7" ht="14.25">
      <c r="A1760" s="3" t="str">
        <f>T("80186994")</f>
        <v>80186994</v>
      </c>
      <c r="B1760" s="14" t="s">
        <v>7344</v>
      </c>
      <c r="C1760" s="3" t="s">
        <v>1762</v>
      </c>
      <c r="D1760" s="3" t="str">
        <f>T("林蘊暉")</f>
        <v>林蘊暉</v>
      </c>
      <c r="E1760" s="3" t="str">
        <f>T("東方中心")</f>
        <v>東方中心</v>
      </c>
      <c r="F1760" s="3">
        <v>38</v>
      </c>
      <c r="G1760" s="3">
        <v>228</v>
      </c>
    </row>
    <row r="1761" spans="1:7" ht="14.25">
      <c r="A1761" s="3" t="str">
        <f>T("80188394")</f>
        <v>80188394</v>
      </c>
      <c r="B1761" s="14" t="s">
        <v>7346</v>
      </c>
      <c r="C1761" s="3" t="s">
        <v>1763</v>
      </c>
      <c r="D1761" s="3" t="str">
        <f>T("張克榮")</f>
        <v>張克榮</v>
      </c>
      <c r="E1761" s="3" t="str">
        <f>T("現代")</f>
        <v>現代</v>
      </c>
      <c r="F1761" s="3">
        <v>30</v>
      </c>
      <c r="G1761" s="3">
        <v>180</v>
      </c>
    </row>
    <row r="1762" spans="1:7" ht="14.25">
      <c r="A1762" s="3" t="str">
        <f>T("80190846")</f>
        <v>80190846</v>
      </c>
      <c r="B1762" s="14" t="s">
        <v>7354</v>
      </c>
      <c r="C1762" s="3" t="s">
        <v>1764</v>
      </c>
      <c r="D1762" s="3" t="str">
        <f>T("陸偉芳")</f>
        <v>陸偉芳</v>
      </c>
      <c r="E1762" s="3" t="str">
        <f>T("社科文獻")</f>
        <v>社科文獻</v>
      </c>
      <c r="F1762" s="3">
        <v>32</v>
      </c>
      <c r="G1762" s="3">
        <v>192</v>
      </c>
    </row>
    <row r="1763" spans="1:7" ht="14.25">
      <c r="A1763" s="3" t="str">
        <f>T("80190873")</f>
        <v>80190873</v>
      </c>
      <c r="B1763" s="14" t="s">
        <v>7357</v>
      </c>
      <c r="C1763" s="3" t="s">
        <v>1765</v>
      </c>
      <c r="D1763" s="3" t="str">
        <f>T(".")</f>
        <v>.</v>
      </c>
      <c r="E1763" s="3" t="str">
        <f>T("社科文獻")</f>
        <v>社科文獻</v>
      </c>
      <c r="F1763" s="3">
        <v>24</v>
      </c>
      <c r="G1763" s="3">
        <v>144</v>
      </c>
    </row>
    <row r="1764" spans="1:7" ht="14.25">
      <c r="A1764" s="3" t="str">
        <f>T("80195628")</f>
        <v>80195628</v>
      </c>
      <c r="B1764" s="14" t="s">
        <v>7359</v>
      </c>
      <c r="C1764" s="3" t="s">
        <v>1766</v>
      </c>
      <c r="D1764" s="3" t="str">
        <f>T("曲彥斌")</f>
        <v>曲彥斌</v>
      </c>
      <c r="E1764" s="3" t="str">
        <f>T("九州")</f>
        <v>九州</v>
      </c>
      <c r="F1764" s="3">
        <v>39.8</v>
      </c>
      <c r="G1764" s="3">
        <v>239</v>
      </c>
    </row>
    <row r="1765" spans="1:7" ht="14.25">
      <c r="A1765" s="3" t="str">
        <f>T("80195790")</f>
        <v>80195790</v>
      </c>
      <c r="B1765" s="14" t="s">
        <v>7362</v>
      </c>
      <c r="C1765" s="3" t="s">
        <v>1767</v>
      </c>
      <c r="D1765" s="3" t="str">
        <f>T("張劍峰")</f>
        <v>張劍峰</v>
      </c>
      <c r="E1765" s="3" t="str">
        <f>T("九州")</f>
        <v>九州</v>
      </c>
      <c r="F1765" s="3">
        <v>32</v>
      </c>
      <c r="G1765" s="3">
        <v>192</v>
      </c>
    </row>
    <row r="1766" spans="1:7" ht="14.25">
      <c r="A1766" s="3" t="str">
        <f>T("80195794")</f>
        <v>80195794</v>
      </c>
      <c r="B1766" s="14" t="s">
        <v>7365</v>
      </c>
      <c r="C1766" s="3" t="s">
        <v>1768</v>
      </c>
      <c r="D1766" s="3" t="str">
        <f>T("李文勇")</f>
        <v>李文勇</v>
      </c>
      <c r="E1766" s="3" t="str">
        <f>T("九州")</f>
        <v>九州</v>
      </c>
      <c r="F1766" s="3">
        <v>29.8</v>
      </c>
      <c r="G1766" s="3">
        <v>179</v>
      </c>
    </row>
    <row r="1767" spans="1:7" ht="14.25">
      <c r="A1767" s="3" t="str">
        <f>T("80195813")</f>
        <v>80195813</v>
      </c>
      <c r="B1767" s="14" t="s">
        <v>7368</v>
      </c>
      <c r="C1767" s="3" t="s">
        <v>1769</v>
      </c>
      <c r="D1767" s="3" t="str">
        <f>T("李峰")</f>
        <v>李峰</v>
      </c>
      <c r="E1767" s="3" t="str">
        <f>T("九州")</f>
        <v>九州</v>
      </c>
      <c r="F1767" s="3">
        <v>29.8</v>
      </c>
      <c r="G1767" s="3">
        <v>179</v>
      </c>
    </row>
    <row r="1768" spans="1:7" ht="14.25">
      <c r="A1768" s="3" t="str">
        <f>T("80195815")</f>
        <v>80195815</v>
      </c>
      <c r="B1768" s="14" t="s">
        <v>7371</v>
      </c>
      <c r="C1768" s="3" t="s">
        <v>1770</v>
      </c>
      <c r="D1768" s="3" t="str">
        <f>T("?彥臣")</f>
        <v>?彥臣</v>
      </c>
      <c r="E1768" s="3" t="str">
        <f>T("九州")</f>
        <v>九州</v>
      </c>
      <c r="F1768" s="3">
        <v>29.8</v>
      </c>
      <c r="G1768" s="3">
        <v>179</v>
      </c>
    </row>
    <row r="1769" spans="1:7" ht="14.25">
      <c r="A1769" s="3" t="str">
        <f>T("80195889")</f>
        <v>80195889</v>
      </c>
      <c r="B1769" s="14" t="s">
        <v>7374</v>
      </c>
      <c r="C1769" s="3" t="s">
        <v>1771</v>
      </c>
      <c r="D1769" s="3" t="str">
        <f>T("楚雙志")</f>
        <v>楚雙志</v>
      </c>
      <c r="E1769" s="3" t="str">
        <f>T("九州")</f>
        <v>九州</v>
      </c>
      <c r="F1769" s="3">
        <v>28</v>
      </c>
      <c r="G1769" s="3">
        <v>168</v>
      </c>
    </row>
    <row r="1770" spans="1:7" ht="14.25">
      <c r="A1770" s="3" t="str">
        <f>T("80195921")</f>
        <v>80195921</v>
      </c>
      <c r="B1770" s="14" t="s">
        <v>7377</v>
      </c>
      <c r="C1770" s="3" t="s">
        <v>1772</v>
      </c>
      <c r="D1770" s="3" t="str">
        <f>T("王凱旋")</f>
        <v>王凱旋</v>
      </c>
      <c r="E1770" s="3" t="str">
        <f>T("九州")</f>
        <v>九州</v>
      </c>
      <c r="F1770" s="3">
        <v>35</v>
      </c>
      <c r="G1770" s="3">
        <v>210</v>
      </c>
    </row>
    <row r="1771" spans="1:7" ht="14.25">
      <c r="A1771" s="3" t="str">
        <f>T("80195966")</f>
        <v>80195966</v>
      </c>
      <c r="B1771" s="14" t="s">
        <v>7380</v>
      </c>
      <c r="C1771" s="3" t="s">
        <v>1773</v>
      </c>
      <c r="D1771" s="3" t="str">
        <f>T("先鋒國家歷史雜誌社")</f>
        <v>先鋒國家歷史雜誌社</v>
      </c>
      <c r="E1771" s="3" t="str">
        <f>T("九州")</f>
        <v>九州</v>
      </c>
      <c r="F1771" s="3">
        <v>32</v>
      </c>
      <c r="G1771" s="3">
        <v>192</v>
      </c>
    </row>
    <row r="1772" spans="1:7" ht="14.25">
      <c r="A1772" s="3" t="str">
        <f>T("80198880")</f>
        <v>80198880</v>
      </c>
      <c r="B1772" s="14" t="s">
        <v>7383</v>
      </c>
      <c r="C1772" s="3" t="s">
        <v>1774</v>
      </c>
      <c r="D1772" s="3" t="str">
        <f>T("白庚勝")</f>
        <v>白庚勝</v>
      </c>
      <c r="E1772" s="3" t="str">
        <f>T("知識產權")</f>
        <v>知識產權</v>
      </c>
      <c r="F1772" s="3">
        <v>32</v>
      </c>
      <c r="G1772" s="3">
        <v>192</v>
      </c>
    </row>
    <row r="1773" spans="1:7" ht="14.25">
      <c r="A1773" s="3" t="str">
        <f>T("80199870")</f>
        <v>80199870</v>
      </c>
      <c r="B1773" s="14" t="s">
        <v>7385</v>
      </c>
      <c r="C1773" s="3" t="s">
        <v>1775</v>
      </c>
      <c r="D1773" s="3" t="str">
        <f>T("上海市寶山區檔案局編")</f>
        <v>上海市寶山區檔案局編</v>
      </c>
      <c r="E1773" s="3" t="str">
        <f>T("中共黨史")</f>
        <v>中共黨史</v>
      </c>
      <c r="F1773" s="3">
        <v>30</v>
      </c>
      <c r="G1773" s="3">
        <v>180</v>
      </c>
    </row>
    <row r="1774" spans="1:7" ht="14.25">
      <c r="A1774" s="3" t="str">
        <f>T("80204366")</f>
        <v>80204366</v>
      </c>
      <c r="B1774" s="14" t="s">
        <v>7388</v>
      </c>
      <c r="C1774" s="3" t="s">
        <v>1776</v>
      </c>
      <c r="D1774" s="3" t="str">
        <f>T("杜居遠")</f>
        <v>杜居遠</v>
      </c>
      <c r="E1774" s="3" t="str">
        <f>T("長征")</f>
        <v>長征</v>
      </c>
      <c r="F1774" s="3">
        <v>26.8</v>
      </c>
      <c r="G1774" s="3">
        <v>161</v>
      </c>
    </row>
    <row r="1775" spans="1:7" ht="14.25">
      <c r="A1775" s="3" t="str">
        <f>T("80204619")</f>
        <v>80204619</v>
      </c>
      <c r="B1775" s="14" t="s">
        <v>7392</v>
      </c>
      <c r="C1775" s="3" t="s">
        <v>1777</v>
      </c>
      <c r="D1775" s="3" t="str">
        <f>T("月望東山. 著")</f>
        <v>月望東山. 著</v>
      </c>
      <c r="E1775" s="3" t="str">
        <f>T("長征")</f>
        <v>長征</v>
      </c>
      <c r="F1775" s="3">
        <v>28.8</v>
      </c>
      <c r="G1775" s="3">
        <v>173</v>
      </c>
    </row>
    <row r="1776" spans="1:7" ht="14.25">
      <c r="A1776" s="3" t="str">
        <f>T("80206502")</f>
        <v>80206502</v>
      </c>
      <c r="B1776" s="14" t="s">
        <v>7395</v>
      </c>
      <c r="C1776" s="3" t="s">
        <v>1778</v>
      </c>
      <c r="D1776" s="3" t="str">
        <f>T(".")</f>
        <v>.</v>
      </c>
      <c r="E1776" s="3" t="str">
        <f>T("光明日報")</f>
        <v>光明日報</v>
      </c>
      <c r="F1776" s="3">
        <v>88.8</v>
      </c>
      <c r="G1776" s="3">
        <v>533</v>
      </c>
    </row>
    <row r="1777" spans="1:7" ht="14.25">
      <c r="A1777" s="3" t="str">
        <f>T("80206503")</f>
        <v>80206503</v>
      </c>
      <c r="B1777" s="14" t="s">
        <v>7397</v>
      </c>
      <c r="C1777" s="3" t="s">
        <v>1779</v>
      </c>
      <c r="D1777" s="3" t="str">
        <f>T(".")</f>
        <v>.</v>
      </c>
      <c r="E1777" s="3" t="str">
        <f>T("光明日報")</f>
        <v>光明日報</v>
      </c>
      <c r="F1777" s="3">
        <v>88.8</v>
      </c>
      <c r="G1777" s="3">
        <v>533</v>
      </c>
    </row>
    <row r="1778" spans="1:7" ht="14.25">
      <c r="A1778" s="3" t="str">
        <f>T("80206559")</f>
        <v>80206559</v>
      </c>
      <c r="B1778" s="14" t="s">
        <v>7399</v>
      </c>
      <c r="C1778" s="3" t="s">
        <v>1780</v>
      </c>
      <c r="D1778" s="3" t="str">
        <f>T("吳飛著")</f>
        <v>吳飛著</v>
      </c>
      <c r="E1778" s="3" t="str">
        <f>T("光明日報")</f>
        <v>光明日報</v>
      </c>
      <c r="F1778" s="3">
        <v>32.8</v>
      </c>
      <c r="G1778" s="3">
        <v>197</v>
      </c>
    </row>
    <row r="1779" spans="1:7" ht="14.25">
      <c r="A1779" s="3" t="str">
        <f>T("80208534")</f>
        <v>80208534</v>
      </c>
      <c r="B1779" s="14" t="s">
        <v>7402</v>
      </c>
      <c r="C1779" s="3" t="s">
        <v>1781</v>
      </c>
      <c r="D1779" s="3" t="str">
        <f>T("熊曉正")</f>
        <v>熊曉正</v>
      </c>
      <c r="E1779" s="3" t="str">
        <f>T("人民日報")</f>
        <v>人民日報</v>
      </c>
      <c r="F1779" s="3">
        <v>20</v>
      </c>
      <c r="G1779" s="3">
        <v>120</v>
      </c>
    </row>
    <row r="1780" spans="1:7" ht="14.25">
      <c r="A1780" s="3" t="str">
        <f>T("80208535")</f>
        <v>80208535</v>
      </c>
      <c r="B1780" s="14" t="s">
        <v>7406</v>
      </c>
      <c r="C1780" s="3" t="s">
        <v>1782</v>
      </c>
      <c r="D1780" s="3" t="str">
        <f>T("熊曉正")</f>
        <v>熊曉正</v>
      </c>
      <c r="E1780" s="3" t="str">
        <f>T("人民日報")</f>
        <v>人民日報</v>
      </c>
      <c r="F1780" s="3">
        <v>20</v>
      </c>
      <c r="G1780" s="3">
        <v>120</v>
      </c>
    </row>
    <row r="1781" spans="1:7" ht="14.25">
      <c r="A1781" s="3" t="str">
        <f>T("80208655")</f>
        <v>80208655</v>
      </c>
      <c r="B1781" s="14" t="s">
        <v>7408</v>
      </c>
      <c r="C1781" s="3" t="s">
        <v>1783</v>
      </c>
      <c r="D1781" s="3" t="str">
        <f>T("許海雲")</f>
        <v>許海雲</v>
      </c>
      <c r="E1781" s="3" t="str">
        <f>T("人民日報")</f>
        <v>人民日報</v>
      </c>
      <c r="F1781" s="3">
        <v>46</v>
      </c>
      <c r="G1781" s="3">
        <v>276</v>
      </c>
    </row>
    <row r="1782" spans="1:7" ht="14.25">
      <c r="A1782" s="3" t="str">
        <f>T("80210626")</f>
        <v>80210626</v>
      </c>
      <c r="B1782" s="14" t="s">
        <v>7411</v>
      </c>
      <c r="C1782" s="3" t="s">
        <v>1784</v>
      </c>
      <c r="D1782" s="3" t="str">
        <f>T("醉雁編")</f>
        <v>醉雁編</v>
      </c>
      <c r="E1782" s="3" t="str">
        <f>T("西苑")</f>
        <v>西苑</v>
      </c>
      <c r="F1782" s="3">
        <v>29.8</v>
      </c>
      <c r="G1782" s="3">
        <v>179</v>
      </c>
    </row>
    <row r="1783" spans="1:7" ht="14.25">
      <c r="A1783" s="3" t="str">
        <f>T("80210630")</f>
        <v>80210630</v>
      </c>
      <c r="B1783" s="14" t="s">
        <v>7415</v>
      </c>
      <c r="C1783" s="3" t="s">
        <v>1785</v>
      </c>
      <c r="D1783" s="3" t="str">
        <f>T("安凝柔編")</f>
        <v>安凝柔編</v>
      </c>
      <c r="E1783" s="3" t="str">
        <f>T("西苑")</f>
        <v>西苑</v>
      </c>
      <c r="F1783" s="3">
        <v>29.8</v>
      </c>
      <c r="G1783" s="3">
        <v>179</v>
      </c>
    </row>
    <row r="1784" spans="1:7" ht="14.25">
      <c r="A1784" s="3" t="str">
        <f>T("80210633")</f>
        <v>80210633</v>
      </c>
      <c r="B1784" s="14" t="s">
        <v>7418</v>
      </c>
      <c r="C1784" s="3" t="s">
        <v>1786</v>
      </c>
      <c r="D1784" s="3" t="str">
        <f>T("冰蘭編")</f>
        <v>冰蘭編</v>
      </c>
      <c r="E1784" s="3" t="str">
        <f>T("西苑")</f>
        <v>西苑</v>
      </c>
      <c r="F1784" s="3">
        <v>29.8</v>
      </c>
      <c r="G1784" s="3">
        <v>179</v>
      </c>
    </row>
    <row r="1785" spans="1:7" ht="14.25">
      <c r="A1785" s="3" t="str">
        <f>T("80210640")</f>
        <v>80210640</v>
      </c>
      <c r="B1785" s="14" t="s">
        <v>7421</v>
      </c>
      <c r="C1785" s="3" t="s">
        <v>1787</v>
      </c>
      <c r="D1785" s="3" t="str">
        <f>T("瑤初楓編")</f>
        <v>瑤初楓編</v>
      </c>
      <c r="E1785" s="3" t="str">
        <f>T("西苑")</f>
        <v>西苑</v>
      </c>
      <c r="F1785" s="3">
        <v>29.8</v>
      </c>
      <c r="G1785" s="3">
        <v>179</v>
      </c>
    </row>
    <row r="1786" spans="1:7" ht="14.25">
      <c r="A1786" s="3" t="str">
        <f>T("80210658")</f>
        <v>80210658</v>
      </c>
      <c r="B1786" s="14" t="s">
        <v>7424</v>
      </c>
      <c r="C1786" s="3" t="s">
        <v>1788</v>
      </c>
      <c r="D1786" s="3" t="str">
        <f>T("蔣志華編")</f>
        <v>蔣志華編</v>
      </c>
      <c r="E1786" s="3" t="str">
        <f>T("西苑")</f>
        <v>西苑</v>
      </c>
      <c r="F1786" s="3">
        <v>29.8</v>
      </c>
      <c r="G1786" s="3">
        <v>179</v>
      </c>
    </row>
    <row r="1787" spans="1:7" ht="14.25">
      <c r="A1787" s="3" t="str">
        <f>T("80211581")</f>
        <v>80211581</v>
      </c>
      <c r="B1787" s="14" t="s">
        <v>7427</v>
      </c>
      <c r="C1787" s="3" t="s">
        <v>1789</v>
      </c>
      <c r="D1787" s="3" t="str">
        <f>T("專家委員會")</f>
        <v>專家委員會</v>
      </c>
      <c r="E1787" s="3" t="str">
        <f>T("中央編譯")</f>
        <v>中央編譯</v>
      </c>
      <c r="F1787" s="3">
        <v>26</v>
      </c>
      <c r="G1787" s="3">
        <v>156</v>
      </c>
    </row>
    <row r="1788" spans="1:7" ht="14.25">
      <c r="A1788" s="3" t="str">
        <f>T("80211801")</f>
        <v>80211801</v>
      </c>
      <c r="B1788" s="14" t="s">
        <v>7430</v>
      </c>
      <c r="C1788" s="3" t="s">
        <v>1790</v>
      </c>
      <c r="D1788" s="3" t="str">
        <f>T("常秉義")</f>
        <v>常秉義</v>
      </c>
      <c r="E1788" s="3" t="str">
        <f>T("中央編譯")</f>
        <v>中央編譯</v>
      </c>
      <c r="F1788" s="3">
        <v>20</v>
      </c>
      <c r="G1788" s="3">
        <v>120</v>
      </c>
    </row>
    <row r="1789" spans="1:7" ht="14.25">
      <c r="A1789" s="3" t="str">
        <f>T("80211802")</f>
        <v>80211802</v>
      </c>
      <c r="B1789" s="14" t="s">
        <v>7433</v>
      </c>
      <c r="C1789" s="3" t="s">
        <v>1791</v>
      </c>
      <c r="D1789" s="3" t="str">
        <f>T("常秉義")</f>
        <v>常秉義</v>
      </c>
      <c r="E1789" s="3" t="str">
        <f>T("中央編譯")</f>
        <v>中央編譯</v>
      </c>
      <c r="F1789" s="3">
        <v>20</v>
      </c>
      <c r="G1789" s="3">
        <v>120</v>
      </c>
    </row>
    <row r="1790" spans="1:7" ht="14.25">
      <c r="A1790" s="3" t="str">
        <f>T("80211803")</f>
        <v>80211803</v>
      </c>
      <c r="B1790" s="14" t="s">
        <v>7435</v>
      </c>
      <c r="C1790" s="3" t="s">
        <v>1792</v>
      </c>
      <c r="D1790" s="3" t="str">
        <f>T("季羨林")</f>
        <v>季羨林</v>
      </c>
      <c r="E1790" s="3" t="str">
        <f>T("中央編譯")</f>
        <v>中央編譯</v>
      </c>
      <c r="F1790" s="3">
        <v>28</v>
      </c>
      <c r="G1790" s="3">
        <v>168</v>
      </c>
    </row>
    <row r="1791" spans="1:7" ht="14.25">
      <c r="A1791" s="3" t="str">
        <f>T("80211807")</f>
        <v>80211807</v>
      </c>
      <c r="B1791" s="14" t="s">
        <v>7438</v>
      </c>
      <c r="C1791" s="3" t="s">
        <v>1793</v>
      </c>
      <c r="D1791" s="3" t="str">
        <f>T("常鋒銳")</f>
        <v>常鋒銳</v>
      </c>
      <c r="E1791" s="3" t="str">
        <f>T("中央編譯")</f>
        <v>中央編譯</v>
      </c>
      <c r="F1791" s="3">
        <v>39.8</v>
      </c>
      <c r="G1791" s="3">
        <v>239</v>
      </c>
    </row>
    <row r="1792" spans="1:7" ht="14.25">
      <c r="A1792" s="3" t="str">
        <f>T("80213603")</f>
        <v>80213603</v>
      </c>
      <c r="B1792" s="14" t="s">
        <v>7441</v>
      </c>
      <c r="C1792" s="3" t="s">
        <v>1794</v>
      </c>
      <c r="D1792" s="3" t="str">
        <f>T("鄧明編著")</f>
        <v>鄧明編著</v>
      </c>
      <c r="E1792" s="3" t="str">
        <f>T("海潮")</f>
        <v>海潮</v>
      </c>
      <c r="F1792" s="3">
        <v>49</v>
      </c>
      <c r="G1792" s="3">
        <v>294</v>
      </c>
    </row>
    <row r="1793" spans="1:7" ht="14.25">
      <c r="A1793" s="3" t="str">
        <f>T("80213684")</f>
        <v>80213684</v>
      </c>
      <c r="B1793" s="14" t="s">
        <v>7445</v>
      </c>
      <c r="C1793" s="3" t="s">
        <v>1795</v>
      </c>
      <c r="D1793" s="3" t="str">
        <f>T("郝朝陽")</f>
        <v>郝朝陽</v>
      </c>
      <c r="E1793" s="3" t="str">
        <f>T("海潮")</f>
        <v>海潮</v>
      </c>
      <c r="F1793" s="3">
        <v>32</v>
      </c>
      <c r="G1793" s="3">
        <v>192</v>
      </c>
    </row>
    <row r="1794" spans="1:7" ht="14.25">
      <c r="A1794" s="3" t="str">
        <f>T("80214282")</f>
        <v>80214282</v>
      </c>
      <c r="B1794" s="14" t="s">
        <v>7448</v>
      </c>
      <c r="C1794" s="3" t="s">
        <v>1796</v>
      </c>
      <c r="D1794" s="3" t="str">
        <f>T("仿佛")</f>
        <v>仿佛</v>
      </c>
      <c r="E1794" s="3" t="str">
        <f>T("團結")</f>
        <v>團結</v>
      </c>
      <c r="F1794" s="3">
        <v>29.8</v>
      </c>
      <c r="G1794" s="3">
        <v>179</v>
      </c>
    </row>
    <row r="1795" spans="1:7" ht="14.25">
      <c r="A1795" s="3" t="str">
        <f>T("80214321")</f>
        <v>80214321</v>
      </c>
      <c r="B1795" s="14" t="s">
        <v>7451</v>
      </c>
      <c r="C1795" s="3" t="s">
        <v>1797</v>
      </c>
      <c r="D1795" s="3" t="str">
        <f>T("陳華麗")</f>
        <v>陳華麗</v>
      </c>
      <c r="E1795" s="3" t="str">
        <f>T("團結")</f>
        <v>團結</v>
      </c>
      <c r="F1795" s="3">
        <v>28</v>
      </c>
      <c r="G1795" s="3">
        <v>168</v>
      </c>
    </row>
    <row r="1796" spans="1:7" ht="14.25">
      <c r="A1796" s="3" t="str">
        <f>T("80214383B")</f>
        <v>80214383B</v>
      </c>
      <c r="B1796" s="14" t="s">
        <v>7454</v>
      </c>
      <c r="C1796" s="3" t="s">
        <v>1798</v>
      </c>
      <c r="D1796" s="3" t="str">
        <f>T("王宇")</f>
        <v>王宇</v>
      </c>
      <c r="E1796" s="3" t="str">
        <f>T("團結")</f>
        <v>團結</v>
      </c>
      <c r="F1796" s="3">
        <v>35.6</v>
      </c>
      <c r="G1796" s="3">
        <v>214</v>
      </c>
    </row>
    <row r="1797" spans="1:7" ht="14.25">
      <c r="A1797" s="3" t="str">
        <f>T("80216593")</f>
        <v>80216593</v>
      </c>
      <c r="B1797" s="14" t="s">
        <v>7456</v>
      </c>
      <c r="C1797" s="3" t="s">
        <v>1799</v>
      </c>
      <c r="D1797" s="3" t="str">
        <f>T("本社")</f>
        <v>本社</v>
      </c>
      <c r="E1797" s="3" t="str">
        <f>T("中國方正")</f>
        <v>中國方正</v>
      </c>
      <c r="F1797" s="3">
        <v>13</v>
      </c>
      <c r="G1797" s="3">
        <v>78</v>
      </c>
    </row>
    <row r="1798" spans="1:7" ht="14.25">
      <c r="A1798" s="3" t="str">
        <f>T("80216600")</f>
        <v>80216600</v>
      </c>
      <c r="B1798" s="14" t="s">
        <v>7459</v>
      </c>
      <c r="C1798" s="3" t="s">
        <v>1800</v>
      </c>
      <c r="D1798" s="3" t="str">
        <f>T("耿文清. 主編")</f>
        <v>耿文清. 主編</v>
      </c>
      <c r="E1798" s="3" t="str">
        <f>T("中國方正")</f>
        <v>中國方正</v>
      </c>
      <c r="F1798" s="3">
        <v>25</v>
      </c>
      <c r="G1798" s="3">
        <v>150</v>
      </c>
    </row>
    <row r="1799" spans="1:7" ht="14.25">
      <c r="A1799" s="3" t="str">
        <f>T("80219597")</f>
        <v>80219597</v>
      </c>
      <c r="B1799" s="14" t="s">
        <v>7462</v>
      </c>
      <c r="C1799" s="3" t="s">
        <v>1801</v>
      </c>
      <c r="D1799" s="3" t="str">
        <f>T("孔健著")</f>
        <v>孔健著</v>
      </c>
      <c r="E1799" s="3" t="str">
        <f>T("中國民主")</f>
        <v>中國民主</v>
      </c>
      <c r="F1799" s="3">
        <v>28</v>
      </c>
      <c r="G1799" s="3">
        <v>168</v>
      </c>
    </row>
    <row r="1800" spans="1:7" ht="14.25">
      <c r="A1800" s="3" t="str">
        <f>T("80219640")</f>
        <v>80219640</v>
      </c>
      <c r="B1800" s="14" t="s">
        <v>7466</v>
      </c>
      <c r="C1800" s="3" t="s">
        <v>1802</v>
      </c>
      <c r="D1800" s="3" t="str">
        <f>T("張加才")</f>
        <v>張加才</v>
      </c>
      <c r="E1800" s="3" t="str">
        <f>T("中國民主")</f>
        <v>中國民主</v>
      </c>
      <c r="F1800" s="3">
        <v>35</v>
      </c>
      <c r="G1800" s="3">
        <v>210</v>
      </c>
    </row>
    <row r="1801" spans="1:7" ht="14.25">
      <c r="A1801" s="3" t="str">
        <f>T("80219642")</f>
        <v>80219642</v>
      </c>
      <c r="B1801" s="14" t="s">
        <v>7469</v>
      </c>
      <c r="C1801" s="3" t="s">
        <v>1803</v>
      </c>
      <c r="D1801" s="3" t="str">
        <f>T("肖雁")</f>
        <v>肖雁</v>
      </c>
      <c r="E1801" s="3" t="str">
        <f>T("中國民主")</f>
        <v>中國民主</v>
      </c>
      <c r="F1801" s="3">
        <v>35</v>
      </c>
      <c r="G1801" s="3">
        <v>210</v>
      </c>
    </row>
    <row r="1802" spans="1:7" ht="14.25">
      <c r="A1802" s="3" t="str">
        <f>T("80219643")</f>
        <v>80219643</v>
      </c>
      <c r="B1802" s="14" t="s">
        <v>7472</v>
      </c>
      <c r="C1802" s="3" t="s">
        <v>1804</v>
      </c>
      <c r="D1802" s="3" t="str">
        <f>T("林存光")</f>
        <v>林存光</v>
      </c>
      <c r="E1802" s="3" t="str">
        <f>T("中國民主")</f>
        <v>中國民主</v>
      </c>
      <c r="F1802" s="3">
        <v>31</v>
      </c>
      <c r="G1802" s="3">
        <v>186</v>
      </c>
    </row>
    <row r="1803" spans="1:7" ht="14.25">
      <c r="A1803" s="3" t="str">
        <f>T("80219644")</f>
        <v>80219644</v>
      </c>
      <c r="B1803" s="14" t="s">
        <v>7475</v>
      </c>
      <c r="C1803" s="3" t="s">
        <v>1805</v>
      </c>
      <c r="D1803" s="3" t="str">
        <f>T("朱嵐")</f>
        <v>朱嵐</v>
      </c>
      <c r="E1803" s="3" t="str">
        <f>T("中國民主")</f>
        <v>中國民主</v>
      </c>
      <c r="F1803" s="3">
        <v>33</v>
      </c>
      <c r="G1803" s="3">
        <v>198</v>
      </c>
    </row>
    <row r="1804" spans="1:7" ht="14.25">
      <c r="A1804" s="3" t="str">
        <f>T("80220641")</f>
        <v>80220641</v>
      </c>
      <c r="B1804" s="14" t="s">
        <v>7478</v>
      </c>
      <c r="C1804" s="3" t="s">
        <v>1806</v>
      </c>
      <c r="D1804" s="3" t="str">
        <f>T("朱中澍")</f>
        <v>朱中澍</v>
      </c>
      <c r="E1804" s="3" t="str">
        <f>T("中國畫報")</f>
        <v>中國畫報</v>
      </c>
      <c r="F1804" s="3">
        <v>28</v>
      </c>
      <c r="G1804" s="3">
        <v>168</v>
      </c>
    </row>
    <row r="1805" spans="1:7" ht="14.25">
      <c r="A1805" s="3" t="str">
        <f>T("80220742")</f>
        <v>80220742</v>
      </c>
      <c r="B1805" s="14" t="s">
        <v>7482</v>
      </c>
      <c r="C1805" s="3" t="s">
        <v>1807</v>
      </c>
      <c r="D1805" s="3" t="str">
        <f>T("鄭振鐸. 著")</f>
        <v>鄭振鐸. 著</v>
      </c>
      <c r="E1805" s="3" t="str">
        <f>T("中國畫報")</f>
        <v>中國畫報</v>
      </c>
      <c r="F1805" s="3">
        <v>39.8</v>
      </c>
      <c r="G1805" s="3">
        <v>239</v>
      </c>
    </row>
    <row r="1806" spans="1:7" ht="14.25">
      <c r="A1806" s="3" t="str">
        <f>T("80221576")</f>
        <v>80221576</v>
      </c>
      <c r="B1806" s="14" t="s">
        <v>7484</v>
      </c>
      <c r="C1806" s="3" t="s">
        <v>1808</v>
      </c>
      <c r="D1806" s="3" t="str">
        <f>T("邢群麟")</f>
        <v>邢群麟</v>
      </c>
      <c r="E1806" s="3" t="str">
        <f>T("時代經濟")</f>
        <v>時代經濟</v>
      </c>
      <c r="F1806" s="3">
        <v>20</v>
      </c>
      <c r="G1806" s="3">
        <v>120</v>
      </c>
    </row>
    <row r="1807" spans="1:7" ht="14.25">
      <c r="A1807" s="3" t="str">
        <f>T("80222046")</f>
        <v>80222046</v>
      </c>
      <c r="B1807" s="14" t="s">
        <v>7488</v>
      </c>
      <c r="C1807" s="3" t="s">
        <v>1809</v>
      </c>
      <c r="D1807" s="3" t="str">
        <f>T("蘇醒")</f>
        <v>蘇醒</v>
      </c>
      <c r="E1807" s="3" t="str">
        <f>T("中國華僑")</f>
        <v>中國華僑</v>
      </c>
      <c r="F1807" s="3">
        <v>18</v>
      </c>
      <c r="G1807" s="3">
        <v>108</v>
      </c>
    </row>
    <row r="1808" spans="1:7" ht="14.25">
      <c r="A1808" s="3" t="str">
        <f>T("80222313")</f>
        <v>80222313</v>
      </c>
      <c r="B1808" s="14" t="s">
        <v>7491</v>
      </c>
      <c r="C1808" s="3" t="s">
        <v>1810</v>
      </c>
      <c r="D1808" s="3" t="str">
        <f>T("薑城")</f>
        <v>薑城</v>
      </c>
      <c r="E1808" s="3" t="str">
        <f>T("中國華僑")</f>
        <v>中國華僑</v>
      </c>
      <c r="F1808" s="3">
        <v>32</v>
      </c>
      <c r="G1808" s="3">
        <v>192</v>
      </c>
    </row>
    <row r="1809" spans="1:7" ht="14.25">
      <c r="A1809" s="3" t="str">
        <f>T("80222314")</f>
        <v>80222314</v>
      </c>
      <c r="B1809" s="14" t="s">
        <v>7494</v>
      </c>
      <c r="C1809" s="3" t="s">
        <v>1811</v>
      </c>
      <c r="D1809" s="3" t="str">
        <f>T("薑城")</f>
        <v>薑城</v>
      </c>
      <c r="E1809" s="3" t="str">
        <f>T("中國華僑")</f>
        <v>中國華僑</v>
      </c>
      <c r="F1809" s="3">
        <v>32</v>
      </c>
      <c r="G1809" s="3">
        <v>192</v>
      </c>
    </row>
    <row r="1810" spans="1:7" ht="14.25">
      <c r="A1810" s="3" t="str">
        <f>T("80222519")</f>
        <v>80222519</v>
      </c>
      <c r="B1810" s="14" t="s">
        <v>7496</v>
      </c>
      <c r="C1810" s="3" t="s">
        <v>1812</v>
      </c>
      <c r="D1810" s="3" t="str">
        <f>T("安心竟")</f>
        <v>安心竟</v>
      </c>
      <c r="E1810" s="3" t="str">
        <f>T("中國華僑")</f>
        <v>中國華僑</v>
      </c>
      <c r="F1810" s="3">
        <v>28</v>
      </c>
      <c r="G1810" s="3">
        <v>168</v>
      </c>
    </row>
    <row r="1811" spans="1:7" ht="14.25">
      <c r="A1811" s="3" t="str">
        <f>T("80222610")</f>
        <v>80222610</v>
      </c>
      <c r="B1811" s="14" t="s">
        <v>7499</v>
      </c>
      <c r="C1811" s="3" t="s">
        <v>1813</v>
      </c>
      <c r="D1811" s="3" t="str">
        <f>T("王宗仁")</f>
        <v>王宗仁</v>
      </c>
      <c r="E1811" s="3" t="str">
        <f>T("中國華僑")</f>
        <v>中國華僑</v>
      </c>
      <c r="F1811" s="3">
        <v>30</v>
      </c>
      <c r="G1811" s="3">
        <v>180</v>
      </c>
    </row>
    <row r="1812" spans="1:7" ht="14.25">
      <c r="A1812" s="3" t="str">
        <f>T("80223325")</f>
        <v>80223325</v>
      </c>
      <c r="B1812" s="14" t="s">
        <v>7502</v>
      </c>
      <c r="C1812" s="3" t="s">
        <v>1814</v>
      </c>
      <c r="D1812" s="3" t="str">
        <f>T("夏于全")</f>
        <v>夏于全</v>
      </c>
      <c r="E1812" s="3" t="str">
        <f>T("中國三峽")</f>
        <v>中國三峽</v>
      </c>
      <c r="F1812" s="3">
        <v>35</v>
      </c>
      <c r="G1812" s="3">
        <v>210</v>
      </c>
    </row>
    <row r="1813" spans="1:7" ht="14.25">
      <c r="A1813" s="3" t="str">
        <f>T("80223371")</f>
        <v>80223371</v>
      </c>
      <c r="B1813" s="14" t="s">
        <v>7506</v>
      </c>
      <c r="C1813" s="3" t="s">
        <v>1815</v>
      </c>
      <c r="D1813" s="3" t="str">
        <f>T("魏晉風")</f>
        <v>魏晉風</v>
      </c>
      <c r="E1813" s="3" t="str">
        <f>T("中國三峽")</f>
        <v>中國三峽</v>
      </c>
      <c r="F1813" s="3">
        <v>26.8</v>
      </c>
      <c r="G1813" s="3">
        <v>161</v>
      </c>
    </row>
    <row r="1814" spans="1:7" ht="14.25">
      <c r="A1814" s="3" t="str">
        <f>T("80223583")</f>
        <v>80223583</v>
      </c>
      <c r="B1814" s="14" t="s">
        <v>7509</v>
      </c>
      <c r="C1814" s="3" t="s">
        <v>1816</v>
      </c>
      <c r="D1814" s="3" t="str">
        <f>T("鄭振鐸. 著")</f>
        <v>鄭振鐸. 著</v>
      </c>
      <c r="E1814" s="3" t="str">
        <f>T("中國三峽")</f>
        <v>中國三峽</v>
      </c>
      <c r="F1814" s="3">
        <v>28</v>
      </c>
      <c r="G1814" s="3">
        <v>168</v>
      </c>
    </row>
    <row r="1815" spans="1:7" ht="14.25">
      <c r="A1815" s="3" t="str">
        <f>T("80225875")</f>
        <v>80225875</v>
      </c>
      <c r="B1815" s="14" t="s">
        <v>7511</v>
      </c>
      <c r="C1815" s="3" t="s">
        <v>1817</v>
      </c>
      <c r="D1815" s="3" t="str">
        <f>T("王靜")</f>
        <v>王靜</v>
      </c>
      <c r="E1815" s="3" t="str">
        <f>T("新星")</f>
        <v>新星</v>
      </c>
      <c r="F1815" s="3">
        <v>39.8</v>
      </c>
      <c r="G1815" s="3">
        <v>239</v>
      </c>
    </row>
    <row r="1816" spans="1:7" ht="14.25">
      <c r="A1816" s="3" t="str">
        <f>T("80228490")</f>
        <v>80228490</v>
      </c>
      <c r="B1816" s="14" t="s">
        <v>7515</v>
      </c>
      <c r="C1816" s="3" t="s">
        <v>1818</v>
      </c>
      <c r="D1816" s="3" t="str">
        <f>T("藍天")</f>
        <v>藍天</v>
      </c>
      <c r="E1816" s="3" t="str">
        <f>T("新世界")</f>
        <v>新世界</v>
      </c>
      <c r="F1816" s="3">
        <v>49.8</v>
      </c>
      <c r="G1816" s="3">
        <v>299</v>
      </c>
    </row>
    <row r="1817" spans="1:7" ht="14.25">
      <c r="A1817" s="3" t="str">
        <f>T("80228599")</f>
        <v>80228599</v>
      </c>
      <c r="B1817" s="14" t="s">
        <v>7518</v>
      </c>
      <c r="C1817" s="3" t="s">
        <v>1819</v>
      </c>
      <c r="D1817" s="3" t="str">
        <f>T("司馬光")</f>
        <v>司馬光</v>
      </c>
      <c r="E1817" s="3" t="str">
        <f>T("新世界")</f>
        <v>新世界</v>
      </c>
      <c r="F1817" s="3">
        <v>98</v>
      </c>
      <c r="G1817" s="3">
        <v>588</v>
      </c>
    </row>
    <row r="1818" spans="1:7" ht="14.25">
      <c r="A1818" s="3" t="str">
        <f>T("80230124")</f>
        <v>80230124</v>
      </c>
      <c r="B1818" s="14" t="s">
        <v>7521</v>
      </c>
      <c r="C1818" s="3" t="s">
        <v>1820</v>
      </c>
      <c r="D1818" s="3" t="str">
        <f>T("張美林")</f>
        <v>張美林</v>
      </c>
      <c r="E1818" s="3" t="str">
        <f>T("社科文獻")</f>
        <v>社科文獻</v>
      </c>
      <c r="F1818" s="3">
        <v>35</v>
      </c>
      <c r="G1818" s="3">
        <v>210</v>
      </c>
    </row>
    <row r="1819" spans="1:7" ht="14.25">
      <c r="A1819" s="3" t="str">
        <f>T("80230181")</f>
        <v>80230181</v>
      </c>
      <c r="B1819" s="14" t="s">
        <v>7524</v>
      </c>
      <c r="C1819" s="3" t="s">
        <v>1821</v>
      </c>
      <c r="D1819" s="3" t="str">
        <f>T("王瑞華著")</f>
        <v>王瑞華著</v>
      </c>
      <c r="E1819" s="3" t="str">
        <f>T("社科文獻")</f>
        <v>社科文獻</v>
      </c>
      <c r="F1819" s="3">
        <v>29</v>
      </c>
      <c r="G1819" s="3">
        <v>174</v>
      </c>
    </row>
    <row r="1820" spans="1:7" ht="14.25">
      <c r="A1820" s="3" t="str">
        <f>T("80230911")</f>
        <v>80230911</v>
      </c>
      <c r="B1820" s="14" t="s">
        <v>7527</v>
      </c>
      <c r="C1820" s="3" t="s">
        <v>1822</v>
      </c>
      <c r="D1820" s="3" t="str">
        <f>T("王兆勝")</f>
        <v>王兆勝</v>
      </c>
      <c r="E1820" s="3" t="str">
        <f>T("社科文獻")</f>
        <v>社科文獻</v>
      </c>
      <c r="F1820" s="3">
        <v>45</v>
      </c>
      <c r="G1820" s="3">
        <v>270</v>
      </c>
    </row>
    <row r="1821" spans="1:7" ht="14.25">
      <c r="A1821" s="3" t="str">
        <f>T("80232194")</f>
        <v>80232194</v>
      </c>
      <c r="B1821" s="14" t="s">
        <v>7529</v>
      </c>
      <c r="C1821" s="3" t="s">
        <v>1823</v>
      </c>
      <c r="D1821" s="3" t="str">
        <f>T("劉曉真")</f>
        <v>劉曉真</v>
      </c>
      <c r="E1821" s="3" t="str">
        <f>T("時事")</f>
        <v>時事</v>
      </c>
      <c r="F1821" s="3">
        <v>39</v>
      </c>
      <c r="G1821" s="3">
        <v>234</v>
      </c>
    </row>
    <row r="1822" spans="1:7" ht="14.25">
      <c r="A1822" s="3" t="str">
        <f>T("80234143")</f>
        <v>80234143</v>
      </c>
      <c r="B1822" s="14" t="s">
        <v>7533</v>
      </c>
      <c r="C1822" s="3" t="s">
        <v>1824</v>
      </c>
      <c r="D1822" s="3" t="str">
        <f>T("陸胤")</f>
        <v>陸胤</v>
      </c>
      <c r="E1822" s="3" t="str">
        <f>T("中國發展")</f>
        <v>中國發展</v>
      </c>
      <c r="F1822" s="3">
        <v>20</v>
      </c>
      <c r="G1822" s="3">
        <v>120</v>
      </c>
    </row>
    <row r="1823" spans="1:7" ht="14.25">
      <c r="A1823" s="3" t="str">
        <f>T("80243444")</f>
        <v>80243444</v>
      </c>
      <c r="B1823" s="14" t="s">
        <v>7537</v>
      </c>
      <c r="C1823" s="3" t="s">
        <v>1825</v>
      </c>
      <c r="D1823" s="3" t="str">
        <f>T("晨楓")</f>
        <v>晨楓</v>
      </c>
      <c r="E1823" s="3" t="str">
        <f>T("航空工業")</f>
        <v>航空工業</v>
      </c>
      <c r="F1823" s="3">
        <v>28</v>
      </c>
      <c r="G1823" s="3">
        <v>168</v>
      </c>
    </row>
    <row r="1824" spans="1:7" ht="14.25">
      <c r="A1824" s="3" t="str">
        <f>T("80244096")</f>
        <v>80244096</v>
      </c>
      <c r="B1824" s="14" t="s">
        <v>7541</v>
      </c>
      <c r="C1824" s="3" t="s">
        <v>1826</v>
      </c>
      <c r="D1824" s="3" t="str">
        <f>T("黃志剛")</f>
        <v>黃志剛</v>
      </c>
      <c r="E1824" s="3" t="str">
        <f>T("現代")</f>
        <v>現代</v>
      </c>
      <c r="F1824" s="3">
        <v>37</v>
      </c>
      <c r="G1824" s="3">
        <v>222</v>
      </c>
    </row>
    <row r="1825" spans="1:7" ht="14.25">
      <c r="A1825" s="3" t="str">
        <f>T("80244137")</f>
        <v>80244137</v>
      </c>
      <c r="B1825" s="14" t="s">
        <v>7544</v>
      </c>
      <c r="C1825" s="3" t="s">
        <v>1827</v>
      </c>
      <c r="D1825" s="3" t="str">
        <f>T("萬資姿")</f>
        <v>萬資姿</v>
      </c>
      <c r="E1825" s="3" t="str">
        <f>T("現代")</f>
        <v>現代</v>
      </c>
      <c r="F1825" s="3">
        <v>38</v>
      </c>
      <c r="G1825" s="3">
        <v>228</v>
      </c>
    </row>
    <row r="1826" spans="1:7" ht="14.25">
      <c r="A1826" s="3" t="str">
        <f>T("80244212")</f>
        <v>80244212</v>
      </c>
      <c r="B1826" s="14" t="s">
        <v>2236</v>
      </c>
      <c r="C1826" s="3" t="s">
        <v>1828</v>
      </c>
      <c r="D1826" s="3" t="str">
        <f>T("右手")</f>
        <v>右手</v>
      </c>
      <c r="E1826" s="3" t="str">
        <f>T("現代")</f>
        <v>現代</v>
      </c>
      <c r="F1826" s="3">
        <v>23.8</v>
      </c>
      <c r="G1826" s="3">
        <v>143</v>
      </c>
    </row>
    <row r="1827" spans="1:7" ht="14.25">
      <c r="A1827" s="3" t="str">
        <f>T("80244412")</f>
        <v>80244412</v>
      </c>
      <c r="B1827" s="14" t="s">
        <v>7549</v>
      </c>
      <c r="C1827" s="3" t="s">
        <v>1829</v>
      </c>
      <c r="D1827" s="3" t="str">
        <f>T("鄭鈞")</f>
        <v>鄭鈞</v>
      </c>
      <c r="E1827" s="3" t="str">
        <f>T("現代")</f>
        <v>現代</v>
      </c>
      <c r="F1827" s="3">
        <v>36</v>
      </c>
      <c r="G1827" s="3">
        <v>216</v>
      </c>
    </row>
    <row r="1828" spans="1:7" ht="14.25">
      <c r="A1828" s="3" t="str">
        <f>T("80244419")</f>
        <v>80244419</v>
      </c>
      <c r="B1828" s="14" t="s">
        <v>7552</v>
      </c>
      <c r="C1828" s="3" t="s">
        <v>1830</v>
      </c>
      <c r="D1828" s="3" t="str">
        <f>T("萬資姿")</f>
        <v>萬資姿</v>
      </c>
      <c r="E1828" s="3" t="str">
        <f>T("現代")</f>
        <v>現代</v>
      </c>
      <c r="F1828" s="3">
        <v>34</v>
      </c>
      <c r="G1828" s="3">
        <v>204</v>
      </c>
    </row>
    <row r="1829" spans="1:7" ht="14.25">
      <c r="A1829" s="3" t="str">
        <f>T("80244420")</f>
        <v>80244420</v>
      </c>
      <c r="B1829" s="14" t="s">
        <v>7554</v>
      </c>
      <c r="C1829" s="3" t="s">
        <v>1831</v>
      </c>
      <c r="D1829" s="3" t="str">
        <f>T("彭征")</f>
        <v>彭征</v>
      </c>
      <c r="E1829" s="3" t="str">
        <f>T("現代")</f>
        <v>現代</v>
      </c>
      <c r="F1829" s="3">
        <v>35</v>
      </c>
      <c r="G1829" s="3">
        <v>210</v>
      </c>
    </row>
    <row r="1830" spans="1:7" ht="14.25">
      <c r="A1830" s="3" t="str">
        <f>T("80244421")</f>
        <v>80244421</v>
      </c>
      <c r="B1830" s="14" t="s">
        <v>7557</v>
      </c>
      <c r="C1830" s="3" t="s">
        <v>1832</v>
      </c>
      <c r="D1830" s="3" t="str">
        <f>T("劉豔靜")</f>
        <v>劉豔靜</v>
      </c>
      <c r="E1830" s="3" t="str">
        <f>T("現代")</f>
        <v>現代</v>
      </c>
      <c r="F1830" s="3">
        <v>37</v>
      </c>
      <c r="G1830" s="3">
        <v>222</v>
      </c>
    </row>
    <row r="1831" spans="1:7" ht="14.25">
      <c r="A1831" s="3" t="str">
        <f>T("80244535")</f>
        <v>80244535</v>
      </c>
      <c r="B1831" s="14" t="s">
        <v>2236</v>
      </c>
      <c r="C1831" s="3" t="s">
        <v>1833</v>
      </c>
      <c r="D1831" s="3" t="str">
        <f>T("張鳴")</f>
        <v>張鳴</v>
      </c>
      <c r="E1831" s="3" t="str">
        <f>T("現代")</f>
        <v>現代</v>
      </c>
      <c r="F1831" s="3">
        <v>25</v>
      </c>
      <c r="G1831" s="3">
        <v>150</v>
      </c>
    </row>
    <row r="1832" spans="1:7" ht="14.25">
      <c r="A1832" s="3" t="str">
        <f>T("80244536")</f>
        <v>80244536</v>
      </c>
      <c r="B1832" s="14" t="s">
        <v>2236</v>
      </c>
      <c r="C1832" s="3" t="s">
        <v>1834</v>
      </c>
      <c r="D1832" s="3" t="str">
        <f>T("盒子創造社")</f>
        <v>盒子創造社</v>
      </c>
      <c r="E1832" s="3" t="str">
        <f>T("現代")</f>
        <v>現代</v>
      </c>
      <c r="F1832" s="3">
        <v>24</v>
      </c>
      <c r="G1832" s="3">
        <v>144</v>
      </c>
    </row>
    <row r="1833" spans="1:7" ht="14.25">
      <c r="A1833" s="3" t="str">
        <f>T("80244580")</f>
        <v>80244580</v>
      </c>
      <c r="B1833" s="14" t="s">
        <v>2236</v>
      </c>
      <c r="C1833" s="3" t="s">
        <v>1835</v>
      </c>
      <c r="D1833" s="3" t="str">
        <f>T("畢寶魁")</f>
        <v>畢寶魁</v>
      </c>
      <c r="E1833" s="3" t="str">
        <f>T("現代")</f>
        <v>現代</v>
      </c>
      <c r="F1833" s="3">
        <v>16.8</v>
      </c>
      <c r="G1833" s="3">
        <v>101</v>
      </c>
    </row>
    <row r="1834" spans="1:7" ht="14.25">
      <c r="A1834" s="3" t="str">
        <f>T("80244582")</f>
        <v>80244582</v>
      </c>
      <c r="B1834" s="14" t="s">
        <v>2236</v>
      </c>
      <c r="C1834" s="3" t="s">
        <v>1836</v>
      </c>
      <c r="D1834" s="3" t="str">
        <f>T("傅威海")</f>
        <v>傅威海</v>
      </c>
      <c r="E1834" s="3" t="str">
        <f>T("現代")</f>
        <v>現代</v>
      </c>
      <c r="F1834" s="3">
        <v>16.8</v>
      </c>
      <c r="G1834" s="3">
        <v>101</v>
      </c>
    </row>
    <row r="1835" spans="1:7" ht="14.25">
      <c r="A1835" s="3" t="str">
        <f>T("80244583")</f>
        <v>80244583</v>
      </c>
      <c r="B1835" s="14" t="s">
        <v>2236</v>
      </c>
      <c r="C1835" s="3" t="s">
        <v>1837</v>
      </c>
      <c r="D1835" s="3" t="str">
        <f>T("傅威海")</f>
        <v>傅威海</v>
      </c>
      <c r="E1835" s="3" t="str">
        <f>T("現代")</f>
        <v>現代</v>
      </c>
      <c r="F1835" s="3">
        <v>16.8</v>
      </c>
      <c r="G1835" s="3">
        <v>101</v>
      </c>
    </row>
    <row r="1836" spans="1:7" ht="14.25">
      <c r="A1836" s="3" t="str">
        <f>T("80244605")</f>
        <v>80244605</v>
      </c>
      <c r="B1836" s="14" t="s">
        <v>2236</v>
      </c>
      <c r="C1836" s="3" t="s">
        <v>1838</v>
      </c>
      <c r="D1836" s="3" t="str">
        <f>T("胡勇")</f>
        <v>胡勇</v>
      </c>
      <c r="E1836" s="3" t="str">
        <f>T("現代")</f>
        <v>現代</v>
      </c>
      <c r="F1836" s="3">
        <v>22</v>
      </c>
      <c r="G1836" s="3">
        <v>132</v>
      </c>
    </row>
    <row r="1837" spans="1:7" ht="14.25">
      <c r="A1837" s="3" t="str">
        <f>T("80244627")</f>
        <v>80244627</v>
      </c>
      <c r="B1837" s="14" t="s">
        <v>2236</v>
      </c>
      <c r="C1837" s="3" t="s">
        <v>1839</v>
      </c>
      <c r="D1837" s="3" t="str">
        <f>T("陳儒才")</f>
        <v>陳儒才</v>
      </c>
      <c r="E1837" s="3" t="str">
        <f>T("現代")</f>
        <v>現代</v>
      </c>
      <c r="F1837" s="3">
        <v>30</v>
      </c>
      <c r="G1837" s="3">
        <v>180</v>
      </c>
    </row>
    <row r="1838" spans="1:7" ht="14.25">
      <c r="A1838" s="3" t="str">
        <f>T("80244645")</f>
        <v>80244645</v>
      </c>
      <c r="B1838" s="14" t="s">
        <v>2236</v>
      </c>
      <c r="C1838" s="3" t="s">
        <v>1840</v>
      </c>
      <c r="D1838" s="3" t="str">
        <f>T("胡勇")</f>
        <v>胡勇</v>
      </c>
      <c r="E1838" s="3" t="str">
        <f>T("現代")</f>
        <v>現代</v>
      </c>
      <c r="F1838" s="3">
        <v>23</v>
      </c>
      <c r="G1838" s="3">
        <v>138</v>
      </c>
    </row>
    <row r="1839" spans="1:7" ht="14.25">
      <c r="A1839" s="3" t="str">
        <f>T("80244658")</f>
        <v>80244658</v>
      </c>
      <c r="B1839" s="14" t="s">
        <v>7573</v>
      </c>
      <c r="C1839" s="3" t="s">
        <v>1841</v>
      </c>
      <c r="D1839" s="3" t="str">
        <f>T("姜正成")</f>
        <v>姜正成</v>
      </c>
      <c r="E1839" s="3" t="str">
        <f>T("現代")</f>
        <v>現代</v>
      </c>
      <c r="F1839" s="3">
        <v>28</v>
      </c>
      <c r="G1839" s="3">
        <v>168</v>
      </c>
    </row>
    <row r="1840" spans="1:7" ht="14.25">
      <c r="A1840" s="3" t="str">
        <f>T("80247614")</f>
        <v>80247614</v>
      </c>
      <c r="B1840" s="14" t="s">
        <v>7576</v>
      </c>
      <c r="C1840" s="3" t="s">
        <v>1842</v>
      </c>
      <c r="D1840" s="3" t="str">
        <f>T("饒鴻競 等")</f>
        <v>饒鴻競 等</v>
      </c>
      <c r="E1840" s="3" t="str">
        <f>T("知識產權")</f>
        <v>知識產權</v>
      </c>
      <c r="F1840" s="3">
        <v>127</v>
      </c>
      <c r="G1840" s="3">
        <v>762</v>
      </c>
    </row>
    <row r="1841" spans="1:7" ht="14.25">
      <c r="A1841" s="3" t="str">
        <f>T("80251322")</f>
        <v>80251322</v>
      </c>
      <c r="B1841" s="14" t="s">
        <v>7579</v>
      </c>
      <c r="C1841" s="3" t="s">
        <v>1843</v>
      </c>
      <c r="D1841" s="3" t="str">
        <f>T("楊楠楠. 主編")</f>
        <v>楊楠楠. 主編</v>
      </c>
      <c r="E1841" s="3" t="str">
        <f>T("金城")</f>
        <v>金城</v>
      </c>
      <c r="F1841" s="3">
        <v>32</v>
      </c>
      <c r="G1841" s="3">
        <v>192</v>
      </c>
    </row>
    <row r="1842" spans="1:7" ht="14.25">
      <c r="A1842" s="3" t="str">
        <f>T("80251434")</f>
        <v>80251434</v>
      </c>
      <c r="B1842" s="14" t="s">
        <v>7583</v>
      </c>
      <c r="C1842" s="3" t="s">
        <v>1844</v>
      </c>
      <c r="D1842" s="3" t="str">
        <f>T("張揚. 編著")</f>
        <v>張揚. 編著</v>
      </c>
      <c r="E1842" s="3" t="str">
        <f>T("金城")</f>
        <v>金城</v>
      </c>
      <c r="F1842" s="3">
        <v>29.8</v>
      </c>
      <c r="G1842" s="3">
        <v>179</v>
      </c>
    </row>
    <row r="1843" spans="1:7" ht="14.25">
      <c r="A1843" s="3" t="str">
        <f>T("80252196")</f>
        <v>80252196</v>
      </c>
      <c r="B1843" s="14" t="s">
        <v>7586</v>
      </c>
      <c r="C1843" s="3" t="s">
        <v>1845</v>
      </c>
      <c r="D1843" s="3" t="str">
        <f>T("金一南著")</f>
        <v>金一南著</v>
      </c>
      <c r="E1843" s="3" t="str">
        <f>T("華藝")</f>
        <v>華藝</v>
      </c>
      <c r="F1843" s="3">
        <v>88</v>
      </c>
      <c r="G1843" s="3">
        <v>528</v>
      </c>
    </row>
    <row r="1844" spans="1:7" ht="14.25">
      <c r="A1844" s="3" t="str">
        <f>T("80254248")</f>
        <v>80254248</v>
      </c>
      <c r="B1844" s="14" t="s">
        <v>7590</v>
      </c>
      <c r="C1844" s="3" t="s">
        <v>1846</v>
      </c>
      <c r="D1844" s="3" t="str">
        <f>T("普正法師. 著")</f>
        <v>普正法師. 著</v>
      </c>
      <c r="E1844" s="3" t="str">
        <f>T("宗教文化")</f>
        <v>宗教文化</v>
      </c>
      <c r="F1844" s="3">
        <v>58</v>
      </c>
      <c r="G1844" s="3">
        <v>348</v>
      </c>
    </row>
    <row r="1845" spans="1:7" ht="14.25">
      <c r="A1845" s="3" t="str">
        <f>T("80501384")</f>
        <v>80501384</v>
      </c>
      <c r="B1845" s="14" t="s">
        <v>7594</v>
      </c>
      <c r="C1845" s="3" t="s">
        <v>1847</v>
      </c>
      <c r="D1845" s="3" t="str">
        <f>T("程長新")</f>
        <v>程長新</v>
      </c>
      <c r="E1845" s="3" t="str">
        <f>T("北京美攝")</f>
        <v>北京美攝</v>
      </c>
      <c r="F1845" s="3">
        <v>32.8</v>
      </c>
      <c r="G1845" s="3">
        <v>194</v>
      </c>
    </row>
    <row r="1846" spans="1:7" ht="14.25">
      <c r="A1846" s="3" t="str">
        <f>T("80504717")</f>
        <v>80504717</v>
      </c>
      <c r="B1846" s="14" t="s">
        <v>7598</v>
      </c>
      <c r="C1846" s="3" t="s">
        <v>1848</v>
      </c>
      <c r="D1846" s="3" t="str">
        <f>T("編委")</f>
        <v>編委</v>
      </c>
      <c r="E1846" s="3" t="str">
        <f>T("天津古籍")</f>
        <v>天津古籍</v>
      </c>
      <c r="F1846" s="3">
        <v>40</v>
      </c>
      <c r="G1846" s="3">
        <v>240</v>
      </c>
    </row>
    <row r="1847" spans="1:7" ht="14.25">
      <c r="A1847" s="3" t="str">
        <f>T("80517103")</f>
        <v>80517103</v>
      </c>
      <c r="B1847" s="14" t="s">
        <v>7601</v>
      </c>
      <c r="C1847" s="3" t="s">
        <v>1849</v>
      </c>
      <c r="D1847" s="3">
        <f>T("")</f>
      </c>
      <c r="E1847" s="3" t="str">
        <f>T("西泠印社")</f>
        <v>西泠印社</v>
      </c>
      <c r="F1847" s="3">
        <v>65.8</v>
      </c>
      <c r="G1847" s="3">
        <v>395</v>
      </c>
    </row>
    <row r="1848" spans="1:7" ht="14.25">
      <c r="A1848" s="3" t="str">
        <f>T("80517820")</f>
        <v>80517820</v>
      </c>
      <c r="B1848" s="14" t="s">
        <v>7604</v>
      </c>
      <c r="C1848" s="3" t="s">
        <v>1850</v>
      </c>
      <c r="D1848" s="3" t="str">
        <f>T("茅大為")</f>
        <v>茅大為</v>
      </c>
      <c r="E1848" s="3" t="str">
        <f>T("西泠印社")</f>
        <v>西泠印社</v>
      </c>
      <c r="F1848" s="3">
        <v>138</v>
      </c>
      <c r="G1848" s="3">
        <v>828</v>
      </c>
    </row>
    <row r="1849" spans="1:7" ht="14.25">
      <c r="A1849" s="3" t="str">
        <f>T("80518616")</f>
        <v>80518616</v>
      </c>
      <c r="B1849" s="14" t="s">
        <v>7607</v>
      </c>
      <c r="C1849" s="3" t="s">
        <v>1851</v>
      </c>
      <c r="D1849" s="3" t="str">
        <f>T("季琳")</f>
        <v>季琳</v>
      </c>
      <c r="E1849" s="3" t="str">
        <f>T("浙江古籍")</f>
        <v>浙江古籍</v>
      </c>
      <c r="F1849" s="3">
        <v>8.5</v>
      </c>
      <c r="G1849" s="3">
        <v>51</v>
      </c>
    </row>
    <row r="1850" spans="1:7" ht="14.25">
      <c r="A1850" s="3" t="str">
        <f>T("80526536")</f>
        <v>80526536</v>
      </c>
      <c r="B1850" s="14" t="s">
        <v>7611</v>
      </c>
      <c r="C1850" s="3" t="s">
        <v>1852</v>
      </c>
      <c r="D1850" s="3" t="str">
        <f>T("陳廣燕")</f>
        <v>陳廣燕</v>
      </c>
      <c r="E1850" s="3" t="str">
        <f>T("北京工美")</f>
        <v>北京工美</v>
      </c>
      <c r="F1850" s="3">
        <v>20</v>
      </c>
      <c r="G1850" s="3">
        <v>120</v>
      </c>
    </row>
    <row r="1851" spans="1:7" ht="14.25">
      <c r="A1851" s="3" t="str">
        <f>T("80526650")</f>
        <v>80526650</v>
      </c>
      <c r="B1851" s="14" t="s">
        <v>7615</v>
      </c>
      <c r="C1851" s="3" t="s">
        <v>1853</v>
      </c>
      <c r="D1851" s="3" t="str">
        <f>T("張金龍")</f>
        <v>張金龍</v>
      </c>
      <c r="E1851" s="3" t="str">
        <f>T("北京工美")</f>
        <v>北京工美</v>
      </c>
      <c r="F1851" s="3">
        <v>36</v>
      </c>
      <c r="G1851" s="3">
        <v>216</v>
      </c>
    </row>
    <row r="1852" spans="1:7" ht="14.25">
      <c r="A1852" s="3" t="str">
        <f>T("80526901")</f>
        <v>80526901</v>
      </c>
      <c r="B1852" s="14" t="s">
        <v>7618</v>
      </c>
      <c r="C1852" s="3" t="s">
        <v>1854</v>
      </c>
      <c r="D1852" s="3" t="str">
        <f>T("賈德江主編")</f>
        <v>賈德江主編</v>
      </c>
      <c r="E1852" s="3" t="str">
        <f>T("北京工美")</f>
        <v>北京工美</v>
      </c>
      <c r="F1852" s="3">
        <v>15</v>
      </c>
      <c r="G1852" s="3">
        <v>90</v>
      </c>
    </row>
    <row r="1853" spans="1:7" ht="14.25">
      <c r="A1853" s="3" t="str">
        <f>T("80526901A")</f>
        <v>80526901A</v>
      </c>
      <c r="B1853" s="14" t="s">
        <v>7618</v>
      </c>
      <c r="C1853" s="3" t="s">
        <v>1855</v>
      </c>
      <c r="D1853" s="3">
        <f>T("")</f>
      </c>
      <c r="E1853" s="3">
        <f>T("")</f>
      </c>
      <c r="F1853" s="3">
        <v>15</v>
      </c>
      <c r="G1853" s="3">
        <v>90</v>
      </c>
    </row>
    <row r="1854" spans="1:7" ht="14.25">
      <c r="A1854" s="3" t="str">
        <f>T("80526901B")</f>
        <v>80526901B</v>
      </c>
      <c r="B1854" s="14" t="s">
        <v>7618</v>
      </c>
      <c r="C1854" s="3" t="s">
        <v>1856</v>
      </c>
      <c r="D1854" s="3" t="str">
        <f>T("賈德江主編")</f>
        <v>賈德江主編</v>
      </c>
      <c r="E1854" s="3" t="str">
        <f>T("北京工美")</f>
        <v>北京工美</v>
      </c>
      <c r="F1854" s="3">
        <v>15</v>
      </c>
      <c r="G1854" s="3">
        <v>90</v>
      </c>
    </row>
    <row r="1855" spans="1:7" ht="14.25">
      <c r="A1855" s="3" t="str">
        <f>T("80532905")</f>
        <v>80532905</v>
      </c>
      <c r="B1855" s="14" t="s">
        <v>7623</v>
      </c>
      <c r="C1855" s="3" t="s">
        <v>1857</v>
      </c>
      <c r="D1855" s="3">
        <f>T("")</f>
      </c>
      <c r="E1855" s="3" t="str">
        <f>T("山東地圖")</f>
        <v>山東地圖</v>
      </c>
      <c r="F1855" s="3">
        <v>25</v>
      </c>
      <c r="G1855" s="3">
        <v>150</v>
      </c>
    </row>
    <row r="1856" spans="1:7" ht="14.25">
      <c r="A1856" s="3" t="str">
        <f>T("80564873J")</f>
        <v>80564873J</v>
      </c>
      <c r="B1856" s="14" t="s">
        <v>7626</v>
      </c>
      <c r="C1856" s="3" t="s">
        <v>1858</v>
      </c>
      <c r="D1856" s="3" t="str">
        <f>T("簡宗梧")</f>
        <v>簡宗梧</v>
      </c>
      <c r="E1856" s="3">
        <f>T("")</f>
      </c>
      <c r="F1856" s="3"/>
      <c r="G1856" s="3">
        <v>125</v>
      </c>
    </row>
    <row r="1857" spans="1:7" ht="14.25">
      <c r="A1857" s="3" t="str">
        <f>T("80568381")</f>
        <v>80568381</v>
      </c>
      <c r="B1857" s="14" t="s">
        <v>7629</v>
      </c>
      <c r="C1857" s="3" t="s">
        <v>1859</v>
      </c>
      <c r="D1857" s="3" t="str">
        <f>T("佚名")</f>
        <v>佚名</v>
      </c>
      <c r="E1857" s="3" t="str">
        <f>T("中國書店")</f>
        <v>中國書店</v>
      </c>
      <c r="F1857" s="3">
        <v>900</v>
      </c>
      <c r="G1857" s="3">
        <v>5400</v>
      </c>
    </row>
    <row r="1858" spans="1:7" ht="14.25">
      <c r="A1858" s="3" t="str">
        <f>T("80568491")</f>
        <v>80568491</v>
      </c>
      <c r="B1858" s="14" t="s">
        <v>7631</v>
      </c>
      <c r="C1858" s="3" t="s">
        <v>1860</v>
      </c>
      <c r="D1858" s="3" t="str">
        <f>T("胡宗懋")</f>
        <v>胡宗懋</v>
      </c>
      <c r="E1858" s="3" t="str">
        <f>T("中國書店")</f>
        <v>中國書店</v>
      </c>
      <c r="F1858" s="3">
        <v>340</v>
      </c>
      <c r="G1858" s="3">
        <v>2040</v>
      </c>
    </row>
    <row r="1859" spans="1:7" ht="14.25">
      <c r="A1859" s="3" t="str">
        <f>T("80568494")</f>
        <v>80568494</v>
      </c>
      <c r="B1859" s="14" t="s">
        <v>7634</v>
      </c>
      <c r="C1859" s="3" t="s">
        <v>1861</v>
      </c>
      <c r="D1859" s="3">
        <f>T("")</f>
      </c>
      <c r="E1859" s="3" t="str">
        <f>T("中國書店")</f>
        <v>中國書店</v>
      </c>
      <c r="F1859" s="3">
        <v>230</v>
      </c>
      <c r="G1859" s="3">
        <v>1380</v>
      </c>
    </row>
    <row r="1860" spans="1:7" ht="14.25">
      <c r="A1860" s="3" t="str">
        <f>T("80588606")</f>
        <v>80588606</v>
      </c>
      <c r="B1860" s="14" t="s">
        <v>7636</v>
      </c>
      <c r="C1860" s="3" t="s">
        <v>1862</v>
      </c>
      <c r="D1860" s="3" t="str">
        <f>T("葉舟")</f>
        <v>葉舟</v>
      </c>
      <c r="E1860" s="3" t="str">
        <f>T("甘肅人民")</f>
        <v>甘肅人民</v>
      </c>
      <c r="F1860" s="3">
        <v>18</v>
      </c>
      <c r="G1860" s="3">
        <v>108</v>
      </c>
    </row>
    <row r="1861" spans="1:7" ht="14.25">
      <c r="A1861" s="3" t="str">
        <f>T("80588628")</f>
        <v>80588628</v>
      </c>
      <c r="B1861" s="14" t="s">
        <v>7639</v>
      </c>
      <c r="C1861" s="3" t="s">
        <v>1863</v>
      </c>
      <c r="D1861" s="3" t="str">
        <f>T("程金城")</f>
        <v>程金城</v>
      </c>
      <c r="E1861" s="3" t="str">
        <f>T("甘肅人民")</f>
        <v>甘肅人民</v>
      </c>
      <c r="F1861" s="3">
        <v>32</v>
      </c>
      <c r="G1861" s="3">
        <v>192</v>
      </c>
    </row>
    <row r="1862" spans="1:7" ht="14.25">
      <c r="A1862" s="3" t="str">
        <f>T("80588629")</f>
        <v>80588629</v>
      </c>
      <c r="B1862" s="14" t="s">
        <v>7642</v>
      </c>
      <c r="C1862" s="3" t="s">
        <v>1864</v>
      </c>
      <c r="D1862" s="3" t="str">
        <f>T("程金城")</f>
        <v>程金城</v>
      </c>
      <c r="E1862" s="3" t="str">
        <f>T("甘肅人民")</f>
        <v>甘肅人民</v>
      </c>
      <c r="F1862" s="3">
        <v>36</v>
      </c>
      <c r="G1862" s="3">
        <v>216</v>
      </c>
    </row>
    <row r="1863" spans="1:7" ht="14.25">
      <c r="A1863" s="3" t="str">
        <f>T("80588632")</f>
        <v>80588632</v>
      </c>
      <c r="B1863" s="14" t="s">
        <v>7644</v>
      </c>
      <c r="C1863" s="3" t="s">
        <v>1865</v>
      </c>
      <c r="D1863" s="3" t="str">
        <f>T("程金城")</f>
        <v>程金城</v>
      </c>
      <c r="E1863" s="3" t="str">
        <f>T("甘肅人民")</f>
        <v>甘肅人民</v>
      </c>
      <c r="F1863" s="3">
        <v>30</v>
      </c>
      <c r="G1863" s="3">
        <v>180</v>
      </c>
    </row>
    <row r="1864" spans="1:7" ht="14.25">
      <c r="A1864" s="3" t="str">
        <f>T("80588633")</f>
        <v>80588633</v>
      </c>
      <c r="B1864" s="14" t="s">
        <v>7646</v>
      </c>
      <c r="C1864" s="3" t="s">
        <v>1866</v>
      </c>
      <c r="D1864" s="3" t="str">
        <f>T("程金城")</f>
        <v>程金城</v>
      </c>
      <c r="E1864" s="3" t="str">
        <f>T("甘肅人民")</f>
        <v>甘肅人民</v>
      </c>
      <c r="F1864" s="3">
        <v>48</v>
      </c>
      <c r="G1864" s="3">
        <v>288</v>
      </c>
    </row>
    <row r="1865" spans="1:7" ht="14.25">
      <c r="A1865" s="3" t="str">
        <f>T("80601070")</f>
        <v>80601070</v>
      </c>
      <c r="B1865" s="14" t="s">
        <v>7648</v>
      </c>
      <c r="C1865" s="3" t="s">
        <v>1867</v>
      </c>
      <c r="D1865" s="3" t="str">
        <f>T("甯雲龍")</f>
        <v>甯雲龍</v>
      </c>
      <c r="E1865" s="3" t="str">
        <f>T("遼寧畫報")</f>
        <v>遼寧畫報</v>
      </c>
      <c r="F1865" s="3">
        <v>68</v>
      </c>
      <c r="G1865" s="3">
        <v>408</v>
      </c>
    </row>
    <row r="1866" spans="1:7" ht="14.25">
      <c r="A1866" s="3" t="str">
        <f>T("80601924")</f>
        <v>80601924</v>
      </c>
      <c r="B1866" s="14" t="s">
        <v>7651</v>
      </c>
      <c r="C1866" s="3" t="s">
        <v>1868</v>
      </c>
      <c r="D1866" s="3" t="str">
        <f>T("張久英")</f>
        <v>張久英</v>
      </c>
      <c r="E1866" s="3" t="str">
        <f>T("遼寧畫報")</f>
        <v>遼寧畫報</v>
      </c>
      <c r="F1866" s="3">
        <v>36</v>
      </c>
      <c r="G1866" s="3">
        <v>216</v>
      </c>
    </row>
    <row r="1867" spans="1:7" ht="14.25">
      <c r="A1867" s="3" t="str">
        <f>T("80601925")</f>
        <v>80601925</v>
      </c>
      <c r="B1867" s="14" t="s">
        <v>7654</v>
      </c>
      <c r="C1867" s="3" t="s">
        <v>1869</v>
      </c>
      <c r="D1867" s="3" t="str">
        <f>T("趙強編著")</f>
        <v>趙強編著</v>
      </c>
      <c r="E1867" s="3" t="str">
        <f>T("萬卷")</f>
        <v>萬卷</v>
      </c>
      <c r="F1867" s="3">
        <v>36</v>
      </c>
      <c r="G1867" s="3">
        <v>216</v>
      </c>
    </row>
    <row r="1868" spans="1:7" ht="14.25">
      <c r="A1868" s="3" t="str">
        <f>T("80601949")</f>
        <v>80601949</v>
      </c>
      <c r="B1868" s="14" t="s">
        <v>7657</v>
      </c>
      <c r="C1868" s="3" t="s">
        <v>1870</v>
      </c>
      <c r="D1868" s="3" t="str">
        <f>T("瀋陽故宮博物院")</f>
        <v>瀋陽故宮博物院</v>
      </c>
      <c r="E1868" s="3" t="str">
        <f>T("萬卷")</f>
        <v>萬卷</v>
      </c>
      <c r="F1868" s="3">
        <v>480</v>
      </c>
      <c r="G1868" s="3">
        <v>2880</v>
      </c>
    </row>
    <row r="1869" spans="1:7" ht="14.25">
      <c r="A1869" s="3" t="str">
        <f>T("80602660")</f>
        <v>80602660</v>
      </c>
      <c r="B1869" s="14" t="s">
        <v>7660</v>
      </c>
      <c r="C1869" s="3" t="s">
        <v>1871</v>
      </c>
      <c r="D1869" s="3">
        <f>T("")</f>
      </c>
      <c r="E1869" s="3" t="str">
        <f>T("寧波")</f>
        <v>寧波</v>
      </c>
      <c r="F1869" s="3">
        <v>20</v>
      </c>
      <c r="G1869" s="3">
        <v>120</v>
      </c>
    </row>
    <row r="1870" spans="1:7" ht="14.25">
      <c r="A1870" s="3" t="str">
        <f>T("80627162")</f>
        <v>80627162</v>
      </c>
      <c r="B1870" s="14" t="s">
        <v>7663</v>
      </c>
      <c r="C1870" s="3" t="s">
        <v>1872</v>
      </c>
      <c r="D1870" s="3" t="str">
        <f>T("何曉明")</f>
        <v>何曉明</v>
      </c>
      <c r="E1870" s="3" t="str">
        <f>T("東方中心")</f>
        <v>東方中心</v>
      </c>
      <c r="F1870" s="3">
        <v>35</v>
      </c>
      <c r="G1870" s="3">
        <v>210</v>
      </c>
    </row>
    <row r="1871" spans="1:7" ht="14.25">
      <c r="A1871" s="3" t="str">
        <f>T("80627389")</f>
        <v>80627389</v>
      </c>
      <c r="B1871" s="14" t="s">
        <v>7666</v>
      </c>
      <c r="C1871" s="3" t="s">
        <v>1873</v>
      </c>
      <c r="D1871" s="3" t="str">
        <f>T("汪湧豪")</f>
        <v>汪湧豪</v>
      </c>
      <c r="E1871" s="3" t="str">
        <f>T("東方中心")</f>
        <v>東方中心</v>
      </c>
      <c r="F1871" s="3">
        <v>25</v>
      </c>
      <c r="G1871" s="3">
        <v>150</v>
      </c>
    </row>
    <row r="1872" spans="1:7" ht="14.25">
      <c r="A1872" s="3" t="str">
        <f>T("80628962")</f>
        <v>80628962</v>
      </c>
      <c r="B1872" s="14" t="s">
        <v>7669</v>
      </c>
      <c r="C1872" s="3" t="s">
        <v>1874</v>
      </c>
      <c r="D1872" s="3" t="str">
        <f>T("王子今")</f>
        <v>王子今</v>
      </c>
      <c r="E1872" s="3" t="str">
        <f>T("三秦")</f>
        <v>三秦</v>
      </c>
      <c r="F1872" s="3">
        <v>25</v>
      </c>
      <c r="G1872" s="3">
        <v>150</v>
      </c>
    </row>
    <row r="1873" spans="1:7" ht="14.25">
      <c r="A1873" s="3" t="str">
        <f>T("80629777")</f>
        <v>80629777</v>
      </c>
      <c r="B1873" s="14" t="s">
        <v>7672</v>
      </c>
      <c r="C1873" s="3" t="s">
        <v>1875</v>
      </c>
      <c r="D1873" s="3" t="str">
        <f>T("謝元魯著")</f>
        <v>謝元魯著</v>
      </c>
      <c r="E1873" s="3" t="str">
        <f>T("濟南")</f>
        <v>濟南</v>
      </c>
      <c r="F1873" s="3">
        <v>26</v>
      </c>
      <c r="G1873" s="3">
        <v>156</v>
      </c>
    </row>
    <row r="1874" spans="1:7" ht="14.25">
      <c r="A1874" s="3" t="str">
        <f>T("80629990")</f>
        <v>80629990</v>
      </c>
      <c r="B1874" s="14" t="s">
        <v>7675</v>
      </c>
      <c r="C1874" s="3" t="s">
        <v>1876</v>
      </c>
      <c r="D1874" s="3" t="str">
        <f>T("屈小強")</f>
        <v>屈小強</v>
      </c>
      <c r="E1874" s="3" t="str">
        <f>T("濟南")</f>
        <v>濟南</v>
      </c>
      <c r="F1874" s="3">
        <v>23</v>
      </c>
      <c r="G1874" s="3">
        <v>138</v>
      </c>
    </row>
    <row r="1875" spans="1:7" ht="14.25">
      <c r="A1875" s="3" t="str">
        <f>T("80643449")</f>
        <v>80643449</v>
      </c>
      <c r="B1875" s="14" t="s">
        <v>7678</v>
      </c>
      <c r="C1875" s="3" t="s">
        <v>1877</v>
      </c>
      <c r="D1875" s="3" t="str">
        <f>T("郭明道")</f>
        <v>郭明道</v>
      </c>
      <c r="E1875" s="3" t="str">
        <f>T("江蘇古籍")</f>
        <v>江蘇古籍</v>
      </c>
      <c r="F1875" s="3">
        <v>10</v>
      </c>
      <c r="G1875" s="3">
        <v>60</v>
      </c>
    </row>
    <row r="1876" spans="1:7" ht="14.25">
      <c r="A1876" s="3" t="str">
        <f>T("80643454")</f>
        <v>80643454</v>
      </c>
      <c r="B1876" s="14" t="s">
        <v>7682</v>
      </c>
      <c r="C1876" s="3" t="s">
        <v>1878</v>
      </c>
      <c r="D1876" s="3" t="str">
        <f>T("董玉書")</f>
        <v>董玉書</v>
      </c>
      <c r="E1876" s="3" t="str">
        <f>T("江蘇古籍")</f>
        <v>江蘇古籍</v>
      </c>
      <c r="F1876" s="3">
        <v>18</v>
      </c>
      <c r="G1876" s="3">
        <v>108</v>
      </c>
    </row>
    <row r="1877" spans="1:7" ht="14.25">
      <c r="A1877" s="3" t="str">
        <f>T("80643457")</f>
        <v>80643457</v>
      </c>
      <c r="B1877" s="14" t="s">
        <v>7685</v>
      </c>
      <c r="C1877" s="3" t="s">
        <v>1879</v>
      </c>
      <c r="D1877" s="3" t="str">
        <f>T("潘寶明")</f>
        <v>潘寶明</v>
      </c>
      <c r="E1877" s="3" t="str">
        <f>T("江蘇古籍")</f>
        <v>江蘇古籍</v>
      </c>
      <c r="F1877" s="3">
        <v>10</v>
      </c>
      <c r="G1877" s="3">
        <v>60</v>
      </c>
    </row>
    <row r="1878" spans="1:7" ht="14.25">
      <c r="A1878" s="3" t="str">
        <f>T("80643458")</f>
        <v>80643458</v>
      </c>
      <c r="B1878" s="14" t="s">
        <v>7688</v>
      </c>
      <c r="C1878" s="3" t="s">
        <v>1880</v>
      </c>
      <c r="D1878" s="3" t="str">
        <f>T("韋明華")</f>
        <v>韋明華</v>
      </c>
      <c r="E1878" s="3" t="str">
        <f>T("江蘇古籍")</f>
        <v>江蘇古籍</v>
      </c>
      <c r="F1878" s="3">
        <v>10</v>
      </c>
      <c r="G1878" s="3">
        <v>60</v>
      </c>
    </row>
    <row r="1879" spans="1:7" ht="14.25">
      <c r="A1879" s="3" t="str">
        <f>T("80643604")</f>
        <v>80643604</v>
      </c>
      <c r="B1879" s="14" t="s">
        <v>7691</v>
      </c>
      <c r="C1879" s="3" t="s">
        <v>1881</v>
      </c>
      <c r="D1879" s="3" t="str">
        <f>T("徐良玉")</f>
        <v>徐良玉</v>
      </c>
      <c r="E1879" s="3" t="str">
        <f>T("江蘇古籍")</f>
        <v>江蘇古籍</v>
      </c>
      <c r="F1879" s="3">
        <v>180</v>
      </c>
      <c r="G1879" s="3">
        <v>1080</v>
      </c>
    </row>
    <row r="1880" spans="1:7" ht="14.25">
      <c r="A1880" s="3" t="str">
        <f>T("80643646")</f>
        <v>80643646</v>
      </c>
      <c r="B1880" s="14" t="s">
        <v>7694</v>
      </c>
      <c r="C1880" s="3" t="s">
        <v>1882</v>
      </c>
      <c r="D1880" s="3" t="str">
        <f>T("吳子輝")</f>
        <v>吳子輝</v>
      </c>
      <c r="E1880" s="3" t="str">
        <f>T("江蘇古籍")</f>
        <v>江蘇古籍</v>
      </c>
      <c r="F1880" s="3">
        <v>18</v>
      </c>
      <c r="G1880" s="3">
        <v>108</v>
      </c>
    </row>
    <row r="1881" spans="1:7" ht="14.25">
      <c r="A1881" s="3" t="str">
        <f>T("80643705")</f>
        <v>80643705</v>
      </c>
      <c r="B1881" s="14" t="s">
        <v>7697</v>
      </c>
      <c r="C1881" s="3" t="s">
        <v>1883</v>
      </c>
      <c r="D1881" s="3" t="str">
        <f>T("王振世")</f>
        <v>王振世</v>
      </c>
      <c r="E1881" s="3" t="str">
        <f>T("江蘇古籍")</f>
        <v>江蘇古籍</v>
      </c>
      <c r="F1881" s="3">
        <v>15</v>
      </c>
      <c r="G1881" s="3">
        <v>90</v>
      </c>
    </row>
    <row r="1882" spans="1:7" ht="14.25">
      <c r="A1882" s="3" t="str">
        <f>T("80643900")</f>
        <v>80643900</v>
      </c>
      <c r="B1882" s="14" t="s">
        <v>7700</v>
      </c>
      <c r="C1882" s="3" t="s">
        <v>1884</v>
      </c>
      <c r="D1882" s="3" t="str">
        <f>T("[清]江標")</f>
        <v>[清]江標</v>
      </c>
      <c r="E1882" s="3" t="str">
        <f>T("廣陵書社")</f>
        <v>廣陵書社</v>
      </c>
      <c r="F1882" s="3">
        <v>160</v>
      </c>
      <c r="G1882" s="3">
        <v>960</v>
      </c>
    </row>
    <row r="1883" spans="1:7" ht="14.25">
      <c r="A1883" s="3" t="str">
        <f>T("80646152")</f>
        <v>80646152</v>
      </c>
      <c r="B1883" s="14" t="s">
        <v>7703</v>
      </c>
      <c r="C1883" s="3" t="s">
        <v>1885</v>
      </c>
      <c r="D1883" s="3" t="str">
        <f>T("尹繼佐")</f>
        <v>尹繼佐</v>
      </c>
      <c r="E1883" s="3" t="str">
        <f>T("山東畫報")</f>
        <v>山東畫報</v>
      </c>
      <c r="F1883" s="3">
        <v>48</v>
      </c>
      <c r="G1883" s="3">
        <v>288</v>
      </c>
    </row>
    <row r="1884" spans="1:7" ht="14.25">
      <c r="A1884" s="3" t="str">
        <f>T("80647044")</f>
        <v>80647044</v>
      </c>
      <c r="B1884" s="14" t="s">
        <v>7707</v>
      </c>
      <c r="C1884" s="3" t="s">
        <v>1886</v>
      </c>
      <c r="D1884" s="3" t="str">
        <f>T("陳居淵")</f>
        <v>陳居淵</v>
      </c>
      <c r="E1884" s="3" t="str">
        <f>T("百花洲文藝")</f>
        <v>百花洲文藝</v>
      </c>
      <c r="F1884" s="3">
        <v>49</v>
      </c>
      <c r="G1884" s="3">
        <v>294</v>
      </c>
    </row>
    <row r="1885" spans="1:7" ht="14.25">
      <c r="A1885" s="3" t="str">
        <f>T("80647045")</f>
        <v>80647045</v>
      </c>
      <c r="B1885" s="14" t="s">
        <v>7711</v>
      </c>
      <c r="C1885" s="3" t="s">
        <v>1887</v>
      </c>
      <c r="D1885" s="3" t="str">
        <f>T("許總")</f>
        <v>許總</v>
      </c>
      <c r="E1885" s="3" t="str">
        <f>T("百花洲文藝")</f>
        <v>百花洲文藝</v>
      </c>
      <c r="F1885" s="3">
        <v>49.6</v>
      </c>
      <c r="G1885" s="3">
        <v>298</v>
      </c>
    </row>
    <row r="1886" spans="1:7" ht="14.25">
      <c r="A1886" s="3" t="str">
        <f>T("80647125")</f>
        <v>80647125</v>
      </c>
      <c r="B1886" s="14" t="s">
        <v>7714</v>
      </c>
      <c r="C1886" s="3" t="s">
        <v>1888</v>
      </c>
      <c r="D1886" s="3" t="str">
        <f>T("郭延禮")</f>
        <v>郭延禮</v>
      </c>
      <c r="E1886" s="3" t="str">
        <f>T("百花洲文藝")</f>
        <v>百花洲文藝</v>
      </c>
      <c r="F1886" s="3">
        <v>52</v>
      </c>
      <c r="G1886" s="3">
        <v>312</v>
      </c>
    </row>
    <row r="1887" spans="1:7" ht="14.25">
      <c r="A1887" s="3" t="str">
        <f>T("80647245")</f>
        <v>80647245</v>
      </c>
      <c r="B1887" s="14" t="s">
        <v>7717</v>
      </c>
      <c r="C1887" s="3" t="s">
        <v>1889</v>
      </c>
      <c r="D1887" s="3" t="str">
        <f>T("劉松來")</f>
        <v>劉松來</v>
      </c>
      <c r="E1887" s="3" t="str">
        <f>T("百花洲文藝")</f>
        <v>百花洲文藝</v>
      </c>
      <c r="F1887" s="3">
        <v>59.4</v>
      </c>
      <c r="G1887" s="3">
        <v>356</v>
      </c>
    </row>
    <row r="1888" spans="1:7" ht="14.25">
      <c r="A1888" s="3" t="str">
        <f>T("80647338")</f>
        <v>80647338</v>
      </c>
      <c r="B1888" s="14" t="s">
        <v>7720</v>
      </c>
      <c r="C1888" s="3" t="s">
        <v>1890</v>
      </c>
      <c r="D1888" s="3" t="str">
        <f>T("饒龍隼")</f>
        <v>饒龍隼</v>
      </c>
      <c r="E1888" s="3" t="str">
        <f>T("百花洲文藝")</f>
        <v>百花洲文藝</v>
      </c>
      <c r="F1888" s="3">
        <v>62</v>
      </c>
      <c r="G1888" s="3">
        <v>372</v>
      </c>
    </row>
    <row r="1889" spans="1:7" ht="14.25">
      <c r="A1889" s="3" t="str">
        <f>T("80651329")</f>
        <v>80651329</v>
      </c>
      <c r="B1889" s="14" t="s">
        <v>7727</v>
      </c>
      <c r="C1889" s="3" t="s">
        <v>1891</v>
      </c>
      <c r="D1889" s="3" t="str">
        <f>T("潘福晶")</f>
        <v>潘福晶</v>
      </c>
      <c r="E1889" s="3" t="str">
        <f>T("羊城晚報")</f>
        <v>羊城晚報</v>
      </c>
      <c r="F1889" s="3">
        <v>30</v>
      </c>
      <c r="G1889" s="3">
        <v>180</v>
      </c>
    </row>
    <row r="1890" spans="1:7" ht="14.25">
      <c r="A1890" s="3" t="str">
        <f>T("80656577C")</f>
        <v>80656577C</v>
      </c>
      <c r="B1890" s="14" t="s">
        <v>7731</v>
      </c>
      <c r="C1890" s="3" t="s">
        <v>1892</v>
      </c>
      <c r="D1890" s="3" t="str">
        <f>T("吳承恩")</f>
        <v>吳承恩</v>
      </c>
      <c r="E1890" s="3" t="str">
        <f>T("百家")</f>
        <v>百家</v>
      </c>
      <c r="F1890" s="3">
        <v>13.8</v>
      </c>
      <c r="G1890" s="3">
        <v>83</v>
      </c>
    </row>
    <row r="1891" spans="1:7" ht="14.25">
      <c r="A1891" s="3" t="str">
        <f>T("80656578A")</f>
        <v>80656578A</v>
      </c>
      <c r="B1891" s="14" t="s">
        <v>7734</v>
      </c>
      <c r="C1891" s="3" t="s">
        <v>1893</v>
      </c>
      <c r="D1891" s="3" t="str">
        <f>T("吳承恩")</f>
        <v>吳承恩</v>
      </c>
      <c r="E1891" s="3" t="str">
        <f>T("百家")</f>
        <v>百家</v>
      </c>
      <c r="F1891" s="3">
        <v>13.8</v>
      </c>
      <c r="G1891" s="3">
        <v>83</v>
      </c>
    </row>
    <row r="1892" spans="1:7" ht="14.25">
      <c r="A1892" s="3" t="str">
        <f>T("80656578B")</f>
        <v>80656578B</v>
      </c>
      <c r="B1892" s="14" t="s">
        <v>7734</v>
      </c>
      <c r="C1892" s="3" t="s">
        <v>1894</v>
      </c>
      <c r="D1892" s="3" t="str">
        <f>T("吳承恩")</f>
        <v>吳承恩</v>
      </c>
      <c r="E1892" s="3" t="str">
        <f>T("百家")</f>
        <v>百家</v>
      </c>
      <c r="F1892" s="3">
        <v>13.8</v>
      </c>
      <c r="G1892" s="3">
        <v>83</v>
      </c>
    </row>
    <row r="1893" spans="1:7" ht="14.25">
      <c r="A1893" s="3" t="str">
        <f>T("80656578C")</f>
        <v>80656578C</v>
      </c>
      <c r="B1893" s="14" t="s">
        <v>7734</v>
      </c>
      <c r="C1893" s="3" t="s">
        <v>1895</v>
      </c>
      <c r="D1893" s="3" t="str">
        <f>T("吳承恩")</f>
        <v>吳承恩</v>
      </c>
      <c r="E1893" s="3" t="str">
        <f>T("百家")</f>
        <v>百家</v>
      </c>
      <c r="F1893" s="3">
        <v>13.8</v>
      </c>
      <c r="G1893" s="3">
        <v>83</v>
      </c>
    </row>
    <row r="1894" spans="1:7" ht="14.25">
      <c r="A1894" s="3" t="str">
        <f>T("80656887A")</f>
        <v>80656887A</v>
      </c>
      <c r="B1894" s="14" t="s">
        <v>7738</v>
      </c>
      <c r="C1894" s="3" t="s">
        <v>1896</v>
      </c>
      <c r="D1894" s="3" t="str">
        <f>T("(明)吳承恩")</f>
        <v>(明)吳承恩</v>
      </c>
      <c r="E1894" s="3" t="str">
        <f>T("百家")</f>
        <v>百家</v>
      </c>
      <c r="F1894" s="3">
        <v>13.8</v>
      </c>
      <c r="G1894" s="3">
        <v>83</v>
      </c>
    </row>
    <row r="1895" spans="1:7" ht="14.25">
      <c r="A1895" s="3" t="str">
        <f>T("80656887B")</f>
        <v>80656887B</v>
      </c>
      <c r="B1895" s="14" t="s">
        <v>7738</v>
      </c>
      <c r="C1895" s="3" t="s">
        <v>1897</v>
      </c>
      <c r="D1895" s="3" t="str">
        <f>T("(明)吳承恩")</f>
        <v>(明)吳承恩</v>
      </c>
      <c r="E1895" s="3" t="str">
        <f>T("百家")</f>
        <v>百家</v>
      </c>
      <c r="F1895" s="3">
        <v>13.8</v>
      </c>
      <c r="G1895" s="3">
        <v>83</v>
      </c>
    </row>
    <row r="1896" spans="1:7" ht="14.25">
      <c r="A1896" s="3" t="str">
        <f>T("80656887C")</f>
        <v>80656887C</v>
      </c>
      <c r="B1896" s="14" t="s">
        <v>7738</v>
      </c>
      <c r="C1896" s="3" t="s">
        <v>1898</v>
      </c>
      <c r="D1896" s="3" t="str">
        <f>T("(明)吳承恩")</f>
        <v>(明)吳承恩</v>
      </c>
      <c r="E1896" s="3" t="str">
        <f>T("百家")</f>
        <v>百家</v>
      </c>
      <c r="F1896" s="3">
        <v>13.8</v>
      </c>
      <c r="G1896" s="3">
        <v>83</v>
      </c>
    </row>
    <row r="1897" spans="1:7" ht="14.25">
      <c r="A1897" s="3" t="str">
        <f>T("80656906A")</f>
        <v>80656906A</v>
      </c>
      <c r="B1897" s="14" t="s">
        <v>7743</v>
      </c>
      <c r="C1897" s="3" t="s">
        <v>1899</v>
      </c>
      <c r="D1897" s="3" t="str">
        <f>T("(明)吳承恩")</f>
        <v>(明)吳承恩</v>
      </c>
      <c r="E1897" s="3" t="str">
        <f>T("百家")</f>
        <v>百家</v>
      </c>
      <c r="F1897" s="3">
        <v>13.8</v>
      </c>
      <c r="G1897" s="3">
        <v>83</v>
      </c>
    </row>
    <row r="1898" spans="1:7" ht="14.25">
      <c r="A1898" s="3" t="str">
        <f>T("80656906B")</f>
        <v>80656906B</v>
      </c>
      <c r="B1898" s="14" t="s">
        <v>7743</v>
      </c>
      <c r="C1898" s="3" t="s">
        <v>1900</v>
      </c>
      <c r="D1898" s="3" t="str">
        <f>T("(明)吳承恩")</f>
        <v>(明)吳承恩</v>
      </c>
      <c r="E1898" s="3" t="str">
        <f>T("百家")</f>
        <v>百家</v>
      </c>
      <c r="F1898" s="3">
        <v>13.8</v>
      </c>
      <c r="G1898" s="3">
        <v>83</v>
      </c>
    </row>
    <row r="1899" spans="1:7" ht="14.25">
      <c r="A1899" s="3" t="str">
        <f>T("80656906C")</f>
        <v>80656906C</v>
      </c>
      <c r="B1899" s="14" t="s">
        <v>7743</v>
      </c>
      <c r="C1899" s="3" t="s">
        <v>1901</v>
      </c>
      <c r="D1899" s="3" t="str">
        <f>T("(明)吳承恩")</f>
        <v>(明)吳承恩</v>
      </c>
      <c r="E1899" s="3" t="str">
        <f>T("百家")</f>
        <v>百家</v>
      </c>
      <c r="F1899" s="3">
        <v>13.8</v>
      </c>
      <c r="G1899" s="3">
        <v>83</v>
      </c>
    </row>
    <row r="1900" spans="1:7" ht="14.25">
      <c r="A1900" s="3" t="str">
        <f>T("80658225")</f>
        <v>80658225</v>
      </c>
      <c r="B1900" s="14" t="s">
        <v>7747</v>
      </c>
      <c r="C1900" s="3" t="s">
        <v>1902</v>
      </c>
      <c r="D1900" s="3" t="str">
        <f>T("未建檔")</f>
        <v>未建檔</v>
      </c>
      <c r="E1900" s="3" t="str">
        <f>T("新疆美攝")</f>
        <v>新疆美攝</v>
      </c>
      <c r="F1900" s="3">
        <v>118</v>
      </c>
      <c r="G1900" s="3">
        <v>708</v>
      </c>
    </row>
    <row r="1901" spans="1:7" ht="14.25">
      <c r="A1901" s="3" t="str">
        <f>T("80659564")</f>
        <v>80659564</v>
      </c>
      <c r="B1901" s="14" t="s">
        <v>7749</v>
      </c>
      <c r="C1901" s="3" t="s">
        <v>1903</v>
      </c>
      <c r="D1901" s="3" t="str">
        <f>T(".")</f>
        <v>.</v>
      </c>
      <c r="E1901" s="3" t="str">
        <f>T("巴蜀書社")</f>
        <v>巴蜀書社</v>
      </c>
      <c r="F1901" s="3">
        <v>18</v>
      </c>
      <c r="G1901" s="3">
        <v>108</v>
      </c>
    </row>
    <row r="1902" spans="1:7" ht="14.25">
      <c r="A1902" s="3" t="str">
        <f>T("80659732")</f>
        <v>80659732</v>
      </c>
      <c r="B1902" s="14" t="s">
        <v>7752</v>
      </c>
      <c r="C1902" s="3" t="s">
        <v>1904</v>
      </c>
      <c r="D1902" s="3" t="str">
        <f>T("張紹誠")</f>
        <v>張紹誠</v>
      </c>
      <c r="E1902" s="3" t="str">
        <f>T("巴蜀書社")</f>
        <v>巴蜀書社</v>
      </c>
      <c r="F1902" s="3">
        <v>10</v>
      </c>
      <c r="G1902" s="3">
        <v>60</v>
      </c>
    </row>
    <row r="1903" spans="1:7" ht="14.25">
      <c r="A1903" s="3" t="str">
        <f>T("80659740")</f>
        <v>80659740</v>
      </c>
      <c r="B1903" s="14" t="s">
        <v>7755</v>
      </c>
      <c r="C1903" s="3" t="s">
        <v>1905</v>
      </c>
      <c r="D1903" s="3" t="str">
        <f>T("徐志福")</f>
        <v>徐志福</v>
      </c>
      <c r="E1903" s="3" t="str">
        <f>T("巴蜀書社")</f>
        <v>巴蜀書社</v>
      </c>
      <c r="F1903" s="3">
        <v>10</v>
      </c>
      <c r="G1903" s="3">
        <v>60</v>
      </c>
    </row>
    <row r="1904" spans="1:7" ht="14.25">
      <c r="A1904" s="3" t="str">
        <f>T("80659835")</f>
        <v>80659835</v>
      </c>
      <c r="B1904" s="14" t="s">
        <v>7758</v>
      </c>
      <c r="C1904" s="3" t="s">
        <v>1906</v>
      </c>
      <c r="D1904" s="3" t="str">
        <f>T("李怡")</f>
        <v>李怡</v>
      </c>
      <c r="E1904" s="3" t="str">
        <f>T("巴蜀書社")</f>
        <v>巴蜀書社</v>
      </c>
      <c r="F1904" s="3">
        <v>36</v>
      </c>
      <c r="G1904" s="3">
        <v>216</v>
      </c>
    </row>
    <row r="1905" spans="1:7" ht="14.25">
      <c r="A1905" s="3" t="str">
        <f>T("80659861")</f>
        <v>80659861</v>
      </c>
      <c r="B1905" s="14" t="s">
        <v>7761</v>
      </c>
      <c r="C1905" s="3" t="s">
        <v>1907</v>
      </c>
      <c r="D1905" s="3" t="str">
        <f>T("成都市社會科學院")</f>
        <v>成都市社會科學院</v>
      </c>
      <c r="E1905" s="3" t="str">
        <f>T("巴蜀書社")</f>
        <v>巴蜀書社</v>
      </c>
      <c r="F1905" s="3">
        <v>60</v>
      </c>
      <c r="G1905" s="3">
        <v>360</v>
      </c>
    </row>
    <row r="1906" spans="1:7" ht="14.25">
      <c r="A1906" s="3" t="str">
        <f>T("80659879")</f>
        <v>80659879</v>
      </c>
      <c r="B1906" s="14" t="s">
        <v>7764</v>
      </c>
      <c r="C1906" s="3" t="s">
        <v>1908</v>
      </c>
      <c r="D1906" s="3" t="str">
        <f>T("黎漢基")</f>
        <v>黎漢基</v>
      </c>
      <c r="E1906" s="3" t="str">
        <f>T("巴蜀書社")</f>
        <v>巴蜀書社</v>
      </c>
      <c r="F1906" s="3">
        <v>25</v>
      </c>
      <c r="G1906" s="3">
        <v>150</v>
      </c>
    </row>
    <row r="1907" spans="1:7" ht="14.25">
      <c r="A1907" s="3" t="str">
        <f>T("80659880")</f>
        <v>80659880</v>
      </c>
      <c r="B1907" s="14" t="s">
        <v>7767</v>
      </c>
      <c r="C1907" s="3" t="s">
        <v>1909</v>
      </c>
      <c r="D1907" s="3" t="str">
        <f>T("趙昌文")</f>
        <v>趙昌文</v>
      </c>
      <c r="E1907" s="3" t="str">
        <f>T("巴蜀書社")</f>
        <v>巴蜀書社</v>
      </c>
      <c r="F1907" s="3">
        <v>42</v>
      </c>
      <c r="G1907" s="3">
        <v>252</v>
      </c>
    </row>
    <row r="1908" spans="1:7" ht="14.25">
      <c r="A1908" s="3" t="str">
        <f>T("80659923")</f>
        <v>80659923</v>
      </c>
      <c r="B1908" s="14" t="s">
        <v>7770</v>
      </c>
      <c r="C1908" s="3" t="s">
        <v>1910</v>
      </c>
      <c r="D1908" s="3" t="str">
        <f>T("胡尚炯")</f>
        <v>胡尚炯</v>
      </c>
      <c r="E1908" s="3" t="str">
        <f>T("巴蜀書社")</f>
        <v>巴蜀書社</v>
      </c>
      <c r="F1908" s="3">
        <v>25</v>
      </c>
      <c r="G1908" s="3">
        <v>150</v>
      </c>
    </row>
    <row r="1909" spans="1:7" ht="14.25">
      <c r="A1909" s="3" t="str">
        <f>T("80659926")</f>
        <v>80659926</v>
      </c>
      <c r="B1909" s="14" t="s">
        <v>7773</v>
      </c>
      <c r="C1909" s="3" t="s">
        <v>1911</v>
      </c>
      <c r="D1909" s="3" t="str">
        <f>T("林成西")</f>
        <v>林成西</v>
      </c>
      <c r="E1909" s="3" t="str">
        <f>T("巴蜀書社")</f>
        <v>巴蜀書社</v>
      </c>
      <c r="F1909" s="3">
        <v>22</v>
      </c>
      <c r="G1909" s="3">
        <v>132</v>
      </c>
    </row>
    <row r="1910" spans="1:7" ht="14.25">
      <c r="A1910" s="3" t="str">
        <f>T("80659934")</f>
        <v>80659934</v>
      </c>
      <c r="B1910" s="14" t="s">
        <v>7776</v>
      </c>
      <c r="C1910" s="3" t="s">
        <v>1912</v>
      </c>
      <c r="D1910" s="3" t="str">
        <f>T("甯南縣政協文史委員會編")</f>
        <v>甯南縣政協文史委員會編</v>
      </c>
      <c r="E1910" s="3" t="str">
        <f>T("巴蜀書社")</f>
        <v>巴蜀書社</v>
      </c>
      <c r="F1910" s="3">
        <v>18</v>
      </c>
      <c r="G1910" s="3">
        <v>108</v>
      </c>
    </row>
    <row r="1911" spans="1:7" ht="14.25">
      <c r="A1911" s="3" t="str">
        <f>T("80663488")</f>
        <v>80663488</v>
      </c>
      <c r="B1911" s="14" t="s">
        <v>7779</v>
      </c>
      <c r="C1911" s="3" t="s">
        <v>1913</v>
      </c>
      <c r="D1911" s="3" t="str">
        <f>T("清·吳承仕")</f>
        <v>清·吳承仕</v>
      </c>
      <c r="E1911" s="3" t="str">
        <f>T("中國書店")</f>
        <v>中國書店</v>
      </c>
      <c r="F1911" s="3">
        <v>350</v>
      </c>
      <c r="G1911" s="3">
        <v>2100</v>
      </c>
    </row>
    <row r="1912" spans="1:7" ht="14.25">
      <c r="A1912" s="3" t="str">
        <f>T("80663632")</f>
        <v>80663632</v>
      </c>
      <c r="B1912" s="14" t="s">
        <v>7782</v>
      </c>
      <c r="C1912" s="3" t="s">
        <v>1914</v>
      </c>
      <c r="D1912" s="3" t="str">
        <f>T("完顏亮")</f>
        <v>完顏亮</v>
      </c>
      <c r="E1912" s="3" t="str">
        <f>T("中國書店")</f>
        <v>中國書店</v>
      </c>
      <c r="F1912" s="3">
        <v>32</v>
      </c>
      <c r="G1912" s="3">
        <v>192</v>
      </c>
    </row>
    <row r="1913" spans="1:7" ht="14.25">
      <c r="A1913" s="3" t="str">
        <f>T("80663657")</f>
        <v>80663657</v>
      </c>
      <c r="B1913" s="14" t="s">
        <v>7785</v>
      </c>
      <c r="C1913" s="3" t="s">
        <v>1915</v>
      </c>
      <c r="D1913" s="3" t="str">
        <f>T("徐芹庭著")</f>
        <v>徐芹庭著</v>
      </c>
      <c r="E1913" s="3" t="str">
        <f>T("中國書店")</f>
        <v>中國書店</v>
      </c>
      <c r="F1913" s="3">
        <v>48</v>
      </c>
      <c r="G1913" s="3">
        <v>288</v>
      </c>
    </row>
    <row r="1914" spans="1:7" ht="14.25">
      <c r="A1914" s="3" t="str">
        <f>T("80663669")</f>
        <v>80663669</v>
      </c>
      <c r="B1914" s="14" t="s">
        <v>7788</v>
      </c>
      <c r="C1914" s="3" t="s">
        <v>1916</v>
      </c>
      <c r="D1914" s="3" t="str">
        <f>T("佚名")</f>
        <v>佚名</v>
      </c>
      <c r="E1914" s="3" t="str">
        <f>T("中國書店")</f>
        <v>中國書店</v>
      </c>
      <c r="F1914" s="3">
        <v>36</v>
      </c>
      <c r="G1914" s="3">
        <v>216</v>
      </c>
    </row>
    <row r="1915" spans="1:7" ht="14.25">
      <c r="A1915" s="3" t="str">
        <f>T("80663764")</f>
        <v>80663764</v>
      </c>
      <c r="B1915" s="14" t="s">
        <v>7790</v>
      </c>
      <c r="C1915" s="3" t="s">
        <v>1917</v>
      </c>
      <c r="D1915" s="3" t="str">
        <f>T("彭利芝")</f>
        <v>彭利芝</v>
      </c>
      <c r="E1915" s="3" t="str">
        <f>T("中國書店")</f>
        <v>中國書店</v>
      </c>
      <c r="F1915" s="3">
        <v>22</v>
      </c>
      <c r="G1915" s="3">
        <v>132</v>
      </c>
    </row>
    <row r="1916" spans="1:7" ht="14.25">
      <c r="A1916" s="3" t="str">
        <f>T("80663767")</f>
        <v>80663767</v>
      </c>
      <c r="B1916" s="14" t="s">
        <v>7793</v>
      </c>
      <c r="C1916" s="3" t="s">
        <v>1918</v>
      </c>
      <c r="D1916" s="3" t="str">
        <f>T("徐鑫著")</f>
        <v>徐鑫著</v>
      </c>
      <c r="E1916" s="3" t="str">
        <f>T("中國書店")</f>
        <v>中國書店</v>
      </c>
      <c r="F1916" s="3">
        <v>24</v>
      </c>
      <c r="G1916" s="3">
        <v>144</v>
      </c>
    </row>
    <row r="1917" spans="1:7" ht="14.25">
      <c r="A1917" s="3" t="str">
        <f>T("80663809")</f>
        <v>80663809</v>
      </c>
      <c r="B1917" s="14" t="s">
        <v>7796</v>
      </c>
      <c r="C1917" s="3" t="s">
        <v>1919</v>
      </c>
      <c r="D1917" s="3" t="str">
        <f>T("佚名")</f>
        <v>佚名</v>
      </c>
      <c r="E1917" s="3" t="str">
        <f>T("中國書店")</f>
        <v>中國書店</v>
      </c>
      <c r="F1917" s="3">
        <v>485</v>
      </c>
      <c r="G1917" s="3">
        <v>2910</v>
      </c>
    </row>
    <row r="1918" spans="1:7" ht="14.25">
      <c r="A1918" s="3" t="str">
        <f>T("80663888")</f>
        <v>80663888</v>
      </c>
      <c r="B1918" s="14" t="s">
        <v>7798</v>
      </c>
      <c r="C1918" s="3" t="s">
        <v>1920</v>
      </c>
      <c r="D1918" s="3" t="str">
        <f>T("月望東山")</f>
        <v>月望東山</v>
      </c>
      <c r="E1918" s="3" t="str">
        <f>T("中國書店")</f>
        <v>中國書店</v>
      </c>
      <c r="F1918" s="3">
        <v>28.8</v>
      </c>
      <c r="G1918" s="3">
        <v>173</v>
      </c>
    </row>
    <row r="1919" spans="1:7" ht="14.25">
      <c r="A1919" s="3" t="str">
        <f>T("80665481")</f>
        <v>80665481</v>
      </c>
      <c r="B1919" s="14" t="s">
        <v>7801</v>
      </c>
      <c r="C1919" s="3" t="s">
        <v>1921</v>
      </c>
      <c r="D1919" s="3" t="str">
        <f>T("柴煥波")</f>
        <v>柴煥波</v>
      </c>
      <c r="E1919" s="3" t="str">
        <f>T("嶽麓書社")</f>
        <v>嶽麓書社</v>
      </c>
      <c r="F1919" s="3">
        <v>82</v>
      </c>
      <c r="G1919" s="3">
        <v>492</v>
      </c>
    </row>
    <row r="1920" spans="1:7" ht="14.25">
      <c r="A1920" s="3" t="str">
        <f>T("80665493")</f>
        <v>80665493</v>
      </c>
      <c r="B1920" s="14" t="s">
        <v>7805</v>
      </c>
      <c r="C1920" s="3" t="s">
        <v>1922</v>
      </c>
      <c r="D1920" s="3" t="str">
        <f>T("柴煥波")</f>
        <v>柴煥波</v>
      </c>
      <c r="E1920" s="3" t="str">
        <f>T("嶽麓書社")</f>
        <v>嶽麓書社</v>
      </c>
      <c r="F1920" s="3">
        <v>480</v>
      </c>
      <c r="G1920" s="3">
        <v>2880</v>
      </c>
    </row>
    <row r="1921" spans="1:7" ht="14.25">
      <c r="A1921" s="3" t="str">
        <f>T("80665559")</f>
        <v>80665559</v>
      </c>
      <c r="B1921" s="14" t="s">
        <v>7807</v>
      </c>
      <c r="C1921" s="3" t="s">
        <v>1923</v>
      </c>
      <c r="D1921" s="3" t="str">
        <f>T("章品鎮")</f>
        <v>章品鎮</v>
      </c>
      <c r="E1921" s="3" t="str">
        <f>T("嶽麓書社")</f>
        <v>嶽麓書社</v>
      </c>
      <c r="F1921" s="3">
        <v>15</v>
      </c>
      <c r="G1921" s="3">
        <v>90</v>
      </c>
    </row>
    <row r="1922" spans="1:7" ht="14.25">
      <c r="A1922" s="3" t="str">
        <f>T("80665564")</f>
        <v>80665564</v>
      </c>
      <c r="B1922" s="14" t="s">
        <v>7814</v>
      </c>
      <c r="C1922" s="3" t="s">
        <v>1924</v>
      </c>
      <c r="D1922" s="3" t="str">
        <f>T("子聰")</f>
        <v>子聰</v>
      </c>
      <c r="E1922" s="3" t="str">
        <f>T("嶽麓書社")</f>
        <v>嶽麓書社</v>
      </c>
      <c r="F1922" s="3">
        <v>13.5</v>
      </c>
      <c r="G1922" s="3">
        <v>81</v>
      </c>
    </row>
    <row r="1923" spans="1:7" ht="14.25">
      <c r="A1923" s="3" t="str">
        <f>T("80665628")</f>
        <v>80665628</v>
      </c>
      <c r="B1923" s="14" t="s">
        <v>7817</v>
      </c>
      <c r="C1923" s="3" t="s">
        <v>1925</v>
      </c>
      <c r="D1923" s="3" t="str">
        <f>T("張晨")</f>
        <v>張晨</v>
      </c>
      <c r="E1923" s="3" t="str">
        <f>T("嶽麓書社")</f>
        <v>嶽麓書社</v>
      </c>
      <c r="F1923" s="3">
        <v>38</v>
      </c>
      <c r="G1923" s="3">
        <v>228</v>
      </c>
    </row>
    <row r="1924" spans="1:7" ht="14.25">
      <c r="A1924" s="3" t="str">
        <f>T("80665650")</f>
        <v>80665650</v>
      </c>
      <c r="B1924" s="14" t="s">
        <v>7820</v>
      </c>
      <c r="C1924" s="3" t="s">
        <v>1926</v>
      </c>
      <c r="D1924" s="3" t="str">
        <f>T("王子云")</f>
        <v>王子云</v>
      </c>
      <c r="E1924" s="3" t="str">
        <f>T("嶽麓書社")</f>
        <v>嶽麓書社</v>
      </c>
      <c r="F1924" s="3">
        <v>180</v>
      </c>
      <c r="G1924" s="3">
        <v>1080</v>
      </c>
    </row>
    <row r="1925" spans="1:7" ht="14.25">
      <c r="A1925" s="3" t="str">
        <f>T("80665651")</f>
        <v>80665651</v>
      </c>
      <c r="B1925" s="14" t="s">
        <v>7823</v>
      </c>
      <c r="C1925" s="3" t="s">
        <v>1927</v>
      </c>
      <c r="D1925" s="3" t="str">
        <f>T("王子雲")</f>
        <v>王子雲</v>
      </c>
      <c r="E1925" s="3" t="str">
        <f>T("嶽麓書社")</f>
        <v>嶽麓書社</v>
      </c>
      <c r="F1925" s="3">
        <v>160</v>
      </c>
      <c r="G1925" s="3">
        <v>960</v>
      </c>
    </row>
    <row r="1926" spans="1:7" ht="14.25">
      <c r="A1926" s="3" t="str">
        <f>T("80665752")</f>
        <v>80665752</v>
      </c>
      <c r="B1926" s="14" t="s">
        <v>7826</v>
      </c>
      <c r="C1926" s="3" t="s">
        <v>1928</v>
      </c>
      <c r="D1926" s="3" t="str">
        <f>T("吉霞")</f>
        <v>吉霞</v>
      </c>
      <c r="E1926" s="3" t="str">
        <f>T("嶽麓書社")</f>
        <v>嶽麓書社</v>
      </c>
      <c r="F1926" s="3">
        <v>15</v>
      </c>
      <c r="G1926" s="3">
        <v>90</v>
      </c>
    </row>
    <row r="1927" spans="1:7" ht="14.25">
      <c r="A1927" s="3" t="str">
        <f>T("80665756")</f>
        <v>80665756</v>
      </c>
      <c r="B1927" s="14" t="s">
        <v>7829</v>
      </c>
      <c r="C1927" s="3" t="s">
        <v>1929</v>
      </c>
      <c r="D1927" s="3" t="str">
        <f>T("張紅苗")</f>
        <v>張紅苗</v>
      </c>
      <c r="E1927" s="3" t="str">
        <f>T("嶽麓書社")</f>
        <v>嶽麓書社</v>
      </c>
      <c r="F1927" s="3">
        <v>15</v>
      </c>
      <c r="G1927" s="3">
        <v>90</v>
      </c>
    </row>
    <row r="1928" spans="1:7" ht="14.25">
      <c r="A1928" s="3" t="str">
        <f>T("80665767")</f>
        <v>80665767</v>
      </c>
      <c r="B1928" s="14" t="s">
        <v>7832</v>
      </c>
      <c r="C1928" s="3" t="s">
        <v>1930</v>
      </c>
      <c r="D1928" s="3" t="str">
        <f>T("楊牧之")</f>
        <v>楊牧之</v>
      </c>
      <c r="E1928" s="3" t="str">
        <f>T("嶽麓書社")</f>
        <v>嶽麓書社</v>
      </c>
      <c r="F1928" s="3">
        <v>150</v>
      </c>
      <c r="G1928" s="3">
        <v>900</v>
      </c>
    </row>
    <row r="1929" spans="1:7" ht="14.25">
      <c r="A1929" s="3" t="str">
        <f>T("80665780")</f>
        <v>80665780</v>
      </c>
      <c r="B1929" s="14" t="s">
        <v>7835</v>
      </c>
      <c r="C1929" s="3" t="s">
        <v>1931</v>
      </c>
      <c r="D1929" s="3" t="str">
        <f>T("(宋)朱熹")</f>
        <v>(宋)朱熹</v>
      </c>
      <c r="E1929" s="3" t="str">
        <f>T("嶽麓書社")</f>
        <v>嶽麓書社</v>
      </c>
      <c r="F1929" s="3">
        <v>23</v>
      </c>
      <c r="G1929" s="3">
        <v>138</v>
      </c>
    </row>
    <row r="1930" spans="1:7" ht="14.25">
      <c r="A1930" s="3" t="str">
        <f>T("80665819")</f>
        <v>80665819</v>
      </c>
      <c r="B1930" s="14" t="s">
        <v>7838</v>
      </c>
      <c r="C1930" s="3" t="s">
        <v>1932</v>
      </c>
      <c r="D1930" s="3" t="str">
        <f>T("湖南省文物考古研究所")</f>
        <v>湖南省文物考古研究所</v>
      </c>
      <c r="E1930" s="3" t="str">
        <f>T("嶽麓書社")</f>
        <v>嶽麓書社</v>
      </c>
      <c r="F1930" s="3">
        <v>600</v>
      </c>
      <c r="G1930" s="3">
        <v>3600</v>
      </c>
    </row>
    <row r="1931" spans="1:7" ht="14.25">
      <c r="A1931" s="3" t="str">
        <f>T("80665840")</f>
        <v>80665840</v>
      </c>
      <c r="B1931" s="14" t="s">
        <v>7841</v>
      </c>
      <c r="C1931" s="3" t="s">
        <v>1933</v>
      </c>
      <c r="D1931" s="3" t="str">
        <f>T("彭先國")</f>
        <v>彭先國</v>
      </c>
      <c r="E1931" s="3" t="str">
        <f>T("嶽麓書社")</f>
        <v>嶽麓書社</v>
      </c>
      <c r="F1931" s="3">
        <v>18</v>
      </c>
      <c r="G1931" s="3">
        <v>108</v>
      </c>
    </row>
    <row r="1932" spans="1:7" ht="14.25">
      <c r="A1932" s="3" t="str">
        <f>T("80665843")</f>
        <v>80665843</v>
      </c>
      <c r="B1932" s="14" t="s">
        <v>7844</v>
      </c>
      <c r="C1932" s="3" t="s">
        <v>1934</v>
      </c>
      <c r="D1932" s="3" t="str">
        <f>T("大豐")</f>
        <v>大豐</v>
      </c>
      <c r="E1932" s="3" t="str">
        <f>T("嶽麓書社")</f>
        <v>嶽麓書社</v>
      </c>
      <c r="F1932" s="3">
        <v>18</v>
      </c>
      <c r="G1932" s="3">
        <v>108</v>
      </c>
    </row>
    <row r="1933" spans="1:7" ht="14.25">
      <c r="A1933" s="3" t="str">
        <f>T("80672985")</f>
        <v>80672985</v>
      </c>
      <c r="B1933" s="14" t="s">
        <v>7847</v>
      </c>
      <c r="C1933" s="3" t="s">
        <v>1935</v>
      </c>
      <c r="D1933" s="3" t="str">
        <f>T("本社")</f>
        <v>本社</v>
      </c>
      <c r="E1933" s="3" t="str">
        <f>T("上海書畫")</f>
        <v>上海書畫</v>
      </c>
      <c r="F1933" s="3">
        <v>30</v>
      </c>
      <c r="G1933" s="3">
        <v>180</v>
      </c>
    </row>
    <row r="1934" spans="1:7" ht="14.25">
      <c r="A1934" s="3" t="str">
        <f>T("80673742")</f>
        <v>80673742</v>
      </c>
      <c r="B1934" s="14" t="s">
        <v>7850</v>
      </c>
      <c r="C1934" s="3" t="s">
        <v>1936</v>
      </c>
      <c r="D1934" s="3" t="str">
        <f>T("黃樸民")</f>
        <v>黃樸民</v>
      </c>
      <c r="E1934" s="3" t="str">
        <f>T("花山文藝")</f>
        <v>花山文藝</v>
      </c>
      <c r="F1934" s="3">
        <v>23</v>
      </c>
      <c r="G1934" s="3">
        <v>138</v>
      </c>
    </row>
    <row r="1935" spans="1:7" ht="14.25">
      <c r="A1935" s="3" t="str">
        <f>T("80673746")</f>
        <v>80673746</v>
      </c>
      <c r="B1935" s="14" t="s">
        <v>7853</v>
      </c>
      <c r="C1935" s="3" t="s">
        <v>1937</v>
      </c>
      <c r="D1935" s="3" t="str">
        <f>T("劉後濱")</f>
        <v>劉後濱</v>
      </c>
      <c r="E1935" s="3" t="str">
        <f>T("花山文藝")</f>
        <v>花山文藝</v>
      </c>
      <c r="F1935" s="3">
        <v>24.8</v>
      </c>
      <c r="G1935" s="3">
        <v>149</v>
      </c>
    </row>
    <row r="1936" spans="1:7" ht="14.25">
      <c r="A1936" s="3" t="str">
        <f>T("80673941")</f>
        <v>80673941</v>
      </c>
      <c r="B1936" s="14" t="s">
        <v>7856</v>
      </c>
      <c r="C1936" s="3" t="s">
        <v>1938</v>
      </c>
      <c r="D1936" s="3" t="str">
        <f>T("毛立坤")</f>
        <v>毛立坤</v>
      </c>
      <c r="E1936" s="3" t="str">
        <f>T("花山文藝")</f>
        <v>花山文藝</v>
      </c>
      <c r="F1936" s="3">
        <v>24.8</v>
      </c>
      <c r="G1936" s="3">
        <v>149</v>
      </c>
    </row>
    <row r="1937" spans="1:7" ht="14.25">
      <c r="A1937" s="3" t="str">
        <f>T("80673942")</f>
        <v>80673942</v>
      </c>
      <c r="B1937" s="14" t="s">
        <v>7859</v>
      </c>
      <c r="C1937" s="3" t="s">
        <v>1939</v>
      </c>
      <c r="D1937" s="3" t="str">
        <f>T("韓樹峰")</f>
        <v>韓樹峰</v>
      </c>
      <c r="E1937" s="3" t="str">
        <f>T("花山文藝")</f>
        <v>花山文藝</v>
      </c>
      <c r="F1937" s="3">
        <v>24.8</v>
      </c>
      <c r="G1937" s="3">
        <v>149</v>
      </c>
    </row>
    <row r="1938" spans="1:7" ht="14.25">
      <c r="A1938" s="3" t="str">
        <f>T("80674369")</f>
        <v>80674369</v>
      </c>
      <c r="B1938" s="14" t="s">
        <v>7862</v>
      </c>
      <c r="C1938" s="3" t="s">
        <v>1940</v>
      </c>
      <c r="D1938" s="3" t="str">
        <f>T("李娟")</f>
        <v>李娟</v>
      </c>
      <c r="E1938" s="3">
        <f>T("")</f>
      </c>
      <c r="F1938" s="3">
        <v>33</v>
      </c>
      <c r="G1938" s="3">
        <v>198</v>
      </c>
    </row>
    <row r="1939" spans="1:7" ht="14.25">
      <c r="A1939" s="3" t="str">
        <f>T("80674604")</f>
        <v>80674604</v>
      </c>
      <c r="B1939" s="14" t="s">
        <v>7865</v>
      </c>
      <c r="C1939" s="3" t="s">
        <v>1941</v>
      </c>
      <c r="D1939" s="3" t="str">
        <f>T("關山月美術館")</f>
        <v>關山月美術館</v>
      </c>
      <c r="E1939" s="3">
        <f>T("")</f>
      </c>
      <c r="F1939" s="3">
        <v>190</v>
      </c>
      <c r="G1939" s="3">
        <v>1140</v>
      </c>
    </row>
    <row r="1940" spans="1:7" ht="14.25">
      <c r="A1940" s="3" t="str">
        <f>T("80675763")</f>
        <v>80675763</v>
      </c>
      <c r="B1940" s="14" t="s">
        <v>7868</v>
      </c>
      <c r="C1940" s="3" t="s">
        <v>1942</v>
      </c>
      <c r="D1940" s="3" t="str">
        <f>T("趙鑫")</f>
        <v>趙鑫</v>
      </c>
      <c r="E1940" s="3" t="str">
        <f>T("內蒙文化")</f>
        <v>內蒙文化</v>
      </c>
      <c r="F1940" s="3">
        <v>38</v>
      </c>
      <c r="G1940" s="3">
        <v>228</v>
      </c>
    </row>
    <row r="1941" spans="1:7" ht="14.25">
      <c r="A1941" s="3" t="str">
        <f>T("80676894")</f>
        <v>80676894</v>
      </c>
      <c r="B1941" s="14" t="s">
        <v>7872</v>
      </c>
      <c r="C1941" s="3" t="s">
        <v>1943</v>
      </c>
      <c r="D1941" s="3" t="str">
        <f>T("張狂")</f>
        <v>張狂</v>
      </c>
      <c r="E1941" s="3" t="str">
        <f>T("文彙")</f>
        <v>文彙</v>
      </c>
      <c r="F1941" s="3">
        <v>25</v>
      </c>
      <c r="G1941" s="3">
        <v>150</v>
      </c>
    </row>
    <row r="1942" spans="1:7" ht="14.25">
      <c r="A1942" s="3" t="str">
        <f>T("80678465")</f>
        <v>80678465</v>
      </c>
      <c r="B1942" s="14" t="s">
        <v>7876</v>
      </c>
      <c r="C1942" s="3" t="s">
        <v>1944</v>
      </c>
      <c r="D1942" s="3" t="str">
        <f>T("姜慶共")</f>
        <v>姜慶共</v>
      </c>
      <c r="E1942" s="3" t="str">
        <f>T("上海書店")</f>
        <v>上海書店</v>
      </c>
      <c r="F1942" s="3">
        <v>25</v>
      </c>
      <c r="G1942" s="3">
        <v>150</v>
      </c>
    </row>
    <row r="1943" spans="1:7" ht="14.25">
      <c r="A1943" s="3" t="str">
        <f>T("80678509")</f>
        <v>80678509</v>
      </c>
      <c r="B1943" s="14" t="s">
        <v>7879</v>
      </c>
      <c r="C1943" s="3" t="s">
        <v>1945</v>
      </c>
      <c r="D1943" s="3" t="str">
        <f>T("夏風")</f>
        <v>夏風</v>
      </c>
      <c r="E1943" s="3" t="str">
        <f>T("上海書店")</f>
        <v>上海書店</v>
      </c>
      <c r="F1943" s="3">
        <v>26</v>
      </c>
      <c r="G1943" s="3">
        <v>156</v>
      </c>
    </row>
    <row r="1944" spans="1:7" ht="14.25">
      <c r="A1944" s="3" t="str">
        <f>T("80678537")</f>
        <v>80678537</v>
      </c>
      <c r="B1944" s="14" t="s">
        <v>7882</v>
      </c>
      <c r="C1944" s="3" t="s">
        <v>1946</v>
      </c>
      <c r="D1944" s="3" t="str">
        <f>T("淩雅麗")</f>
        <v>淩雅麗</v>
      </c>
      <c r="E1944" s="3" t="str">
        <f>T("上海書店")</f>
        <v>上海書店</v>
      </c>
      <c r="F1944" s="3">
        <v>36</v>
      </c>
      <c r="G1944" s="3">
        <v>216</v>
      </c>
    </row>
    <row r="1945" spans="1:7" ht="14.25">
      <c r="A1945" s="3" t="str">
        <f>T("80678538")</f>
        <v>80678538</v>
      </c>
      <c r="B1945" s="14" t="s">
        <v>7885</v>
      </c>
      <c r="C1945" s="3" t="s">
        <v>1947</v>
      </c>
      <c r="D1945" s="3" t="str">
        <f>T("淩雅麗")</f>
        <v>淩雅麗</v>
      </c>
      <c r="E1945" s="3" t="str">
        <f>T("上海書店")</f>
        <v>上海書店</v>
      </c>
      <c r="F1945" s="3">
        <v>45</v>
      </c>
      <c r="G1945" s="3">
        <v>270</v>
      </c>
    </row>
    <row r="1946" spans="1:7" ht="14.25">
      <c r="A1946" s="3" t="str">
        <f>T("80678751")</f>
        <v>80678751</v>
      </c>
      <c r="B1946" s="14" t="s">
        <v>7887</v>
      </c>
      <c r="C1946" s="3" t="s">
        <v>1948</v>
      </c>
      <c r="D1946" s="3" t="str">
        <f>T("陳永健")</f>
        <v>陳永健</v>
      </c>
      <c r="E1946" s="3" t="str">
        <f>T("上海書店")</f>
        <v>上海書店</v>
      </c>
      <c r="F1946" s="3">
        <v>22</v>
      </c>
      <c r="G1946" s="3">
        <v>132</v>
      </c>
    </row>
    <row r="1947" spans="1:7" ht="14.25">
      <c r="A1947" s="3" t="str">
        <f>T("80679379")</f>
        <v>80679379</v>
      </c>
      <c r="B1947" s="14" t="s">
        <v>7890</v>
      </c>
      <c r="C1947" s="3" t="s">
        <v>1949</v>
      </c>
      <c r="D1947" s="3" t="str">
        <f>T("楊紅櫻")</f>
        <v>楊紅櫻</v>
      </c>
      <c r="E1947" s="3" t="str">
        <f>T("接力")</f>
        <v>接力</v>
      </c>
      <c r="F1947" s="3">
        <v>13</v>
      </c>
      <c r="G1947" s="3">
        <v>78</v>
      </c>
    </row>
    <row r="1948" spans="1:7" ht="14.25">
      <c r="A1948" s="3" t="str">
        <f>T("80679461")</f>
        <v>80679461</v>
      </c>
      <c r="B1948" s="14" t="s">
        <v>7894</v>
      </c>
      <c r="C1948" s="3" t="s">
        <v>1950</v>
      </c>
      <c r="D1948" s="3" t="str">
        <f>T("周橋")</f>
        <v>周橋</v>
      </c>
      <c r="E1948" s="3" t="str">
        <f>T("接力")</f>
        <v>接力</v>
      </c>
      <c r="F1948" s="3">
        <v>16.8</v>
      </c>
      <c r="G1948" s="3">
        <v>101</v>
      </c>
    </row>
    <row r="1949" spans="1:7" ht="14.25">
      <c r="A1949" s="3" t="str">
        <f>T("80679484")</f>
        <v>80679484</v>
      </c>
      <c r="B1949" s="14" t="s">
        <v>7897</v>
      </c>
      <c r="C1949" s="3" t="s">
        <v>1951</v>
      </c>
      <c r="D1949" s="3" t="str">
        <f>T("楊紅櫻")</f>
        <v>楊紅櫻</v>
      </c>
      <c r="E1949" s="3" t="str">
        <f>T("接力")</f>
        <v>接力</v>
      </c>
      <c r="F1949" s="3">
        <v>13</v>
      </c>
      <c r="G1949" s="3">
        <v>78</v>
      </c>
    </row>
    <row r="1950" spans="1:7" ht="14.25">
      <c r="A1950" s="3" t="str">
        <f>T("80679712")</f>
        <v>80679712</v>
      </c>
      <c r="B1950" s="14" t="s">
        <v>7899</v>
      </c>
      <c r="C1950" s="3" t="s">
        <v>1952</v>
      </c>
      <c r="D1950" s="3" t="str">
        <f>T("周橋")</f>
        <v>周橋</v>
      </c>
      <c r="E1950" s="3" t="str">
        <f>T("接力")</f>
        <v>接力</v>
      </c>
      <c r="F1950" s="3">
        <v>16.8</v>
      </c>
      <c r="G1950" s="3">
        <v>101</v>
      </c>
    </row>
    <row r="1951" spans="1:7" ht="14.25">
      <c r="A1951" s="3" t="str">
        <f>T("80679718")</f>
        <v>80679718</v>
      </c>
      <c r="B1951" s="14" t="s">
        <v>7901</v>
      </c>
      <c r="C1951" s="3" t="s">
        <v>1953</v>
      </c>
      <c r="D1951" s="3" t="str">
        <f>T("鄭春華")</f>
        <v>鄭春華</v>
      </c>
      <c r="E1951" s="3" t="str">
        <f>T("接力")</f>
        <v>接力</v>
      </c>
      <c r="F1951" s="3">
        <v>12.8</v>
      </c>
      <c r="G1951" s="3">
        <v>77</v>
      </c>
    </row>
    <row r="1952" spans="1:7" ht="14.25">
      <c r="A1952" s="3" t="str">
        <f>T("80679720")</f>
        <v>80679720</v>
      </c>
      <c r="B1952" s="14" t="s">
        <v>7904</v>
      </c>
      <c r="C1952" s="3" t="s">
        <v>1954</v>
      </c>
      <c r="D1952" s="3" t="str">
        <f>T("鄭春華")</f>
        <v>鄭春華</v>
      </c>
      <c r="E1952" s="3" t="str">
        <f>T("接力")</f>
        <v>接力</v>
      </c>
      <c r="F1952" s="3">
        <v>12.8</v>
      </c>
      <c r="G1952" s="3">
        <v>77</v>
      </c>
    </row>
    <row r="1953" spans="1:7" ht="14.25">
      <c r="A1953" s="3" t="str">
        <f>T("80679951")</f>
        <v>80679951</v>
      </c>
      <c r="B1953" s="14" t="s">
        <v>7906</v>
      </c>
      <c r="C1953" s="3" t="s">
        <v>1955</v>
      </c>
      <c r="D1953" s="3" t="str">
        <f>T("楊紅櫻")</f>
        <v>楊紅櫻</v>
      </c>
      <c r="E1953" s="3" t="str">
        <f>T("接力")</f>
        <v>接力</v>
      </c>
      <c r="F1953" s="3">
        <v>13</v>
      </c>
      <c r="G1953" s="3">
        <v>78</v>
      </c>
    </row>
    <row r="1954" spans="1:7" ht="14.25">
      <c r="A1954" s="3" t="str">
        <f>T("80679960")</f>
        <v>80679960</v>
      </c>
      <c r="B1954" s="14" t="s">
        <v>7908</v>
      </c>
      <c r="C1954" s="3" t="s">
        <v>1956</v>
      </c>
      <c r="D1954" s="3" t="str">
        <f>T("葛冰")</f>
        <v>葛冰</v>
      </c>
      <c r="E1954" s="3" t="str">
        <f>T("接力")</f>
        <v>接力</v>
      </c>
      <c r="F1954" s="3">
        <v>13.8</v>
      </c>
      <c r="G1954" s="3">
        <v>83</v>
      </c>
    </row>
    <row r="1955" spans="1:7" ht="14.25">
      <c r="A1955" s="3" t="str">
        <f>T("80679962")</f>
        <v>80679962</v>
      </c>
      <c r="B1955" s="14" t="s">
        <v>7911</v>
      </c>
      <c r="C1955" s="3" t="s">
        <v>1957</v>
      </c>
      <c r="D1955" s="3" t="str">
        <f>T("葛冰")</f>
        <v>葛冰</v>
      </c>
      <c r="E1955" s="3" t="str">
        <f>T("接力")</f>
        <v>接力</v>
      </c>
      <c r="F1955" s="3">
        <v>13.8</v>
      </c>
      <c r="G1955" s="3">
        <v>83</v>
      </c>
    </row>
    <row r="1956" spans="1:7" ht="14.25">
      <c r="A1956" s="3" t="str">
        <f>T("80680644A")</f>
        <v>80680644A</v>
      </c>
      <c r="B1956" s="14" t="s">
        <v>7913</v>
      </c>
      <c r="C1956" s="3" t="s">
        <v>1958</v>
      </c>
      <c r="D1956" s="3" t="str">
        <f>T("瀋陽唐伯虎")</f>
        <v>瀋陽唐伯虎</v>
      </c>
      <c r="E1956" s="3" t="str">
        <f>T("太白文藝")</f>
        <v>太白文藝</v>
      </c>
      <c r="F1956" s="3">
        <v>32</v>
      </c>
      <c r="G1956" s="3">
        <v>192</v>
      </c>
    </row>
    <row r="1957" spans="1:7" ht="14.25">
      <c r="A1957" s="3" t="str">
        <f>T("80681871")</f>
        <v>80681871</v>
      </c>
      <c r="B1957" s="14" t="s">
        <v>7917</v>
      </c>
      <c r="C1957" s="3" t="s">
        <v>1959</v>
      </c>
      <c r="D1957" s="3" t="str">
        <f>T("柯林")</f>
        <v>柯林</v>
      </c>
      <c r="E1957" s="3" t="str">
        <f>T("上海社科")</f>
        <v>上海社科</v>
      </c>
      <c r="F1957" s="3">
        <v>26</v>
      </c>
      <c r="G1957" s="3">
        <v>156</v>
      </c>
    </row>
    <row r="1958" spans="1:7" ht="14.25">
      <c r="A1958" s="3" t="str">
        <f>T("80684455")</f>
        <v>80684455</v>
      </c>
      <c r="B1958" s="14" t="s">
        <v>7921</v>
      </c>
      <c r="C1958" s="3" t="s">
        <v>1960</v>
      </c>
      <c r="D1958" s="3" t="str">
        <f>T("黃濂")</f>
        <v>黃濂</v>
      </c>
      <c r="E1958" s="3" t="str">
        <f>T("大連")</f>
        <v>大連</v>
      </c>
      <c r="F1958" s="3">
        <v>39.8</v>
      </c>
      <c r="G1958" s="3">
        <v>239</v>
      </c>
    </row>
    <row r="1959" spans="1:7" ht="14.25">
      <c r="A1959" s="3" t="str">
        <f>T("80684971")</f>
        <v>80684971</v>
      </c>
      <c r="B1959" s="14" t="s">
        <v>7925</v>
      </c>
      <c r="C1959" s="3" t="s">
        <v>1961</v>
      </c>
      <c r="D1959" s="3" t="str">
        <f>T("大連市老年學學會、大連市慈善總會")</f>
        <v>大連市老年學學會、大連市慈善總會</v>
      </c>
      <c r="E1959" s="3" t="str">
        <f>T("大連")</f>
        <v>大連</v>
      </c>
      <c r="F1959" s="3">
        <v>24</v>
      </c>
      <c r="G1959" s="3">
        <v>144</v>
      </c>
    </row>
    <row r="1960" spans="1:7" ht="14.25">
      <c r="A1960" s="3" t="str">
        <f>T("80685511")</f>
        <v>80685511</v>
      </c>
      <c r="B1960" s="14" t="s">
        <v>7928</v>
      </c>
      <c r="C1960" s="3" t="s">
        <v>1962</v>
      </c>
      <c r="D1960" s="3" t="str">
        <f>T("陸建初")</f>
        <v>陸建初</v>
      </c>
      <c r="E1960" s="3" t="str">
        <f>T("上海畫報")</f>
        <v>上海畫報</v>
      </c>
      <c r="F1960" s="3">
        <v>20</v>
      </c>
      <c r="G1960" s="3">
        <v>120</v>
      </c>
    </row>
    <row r="1961" spans="1:7" ht="14.25">
      <c r="A1961" s="3" t="str">
        <f>T("80685880")</f>
        <v>80685880</v>
      </c>
      <c r="B1961" s="14" t="s">
        <v>7936</v>
      </c>
      <c r="C1961" s="3" t="s">
        <v>1963</v>
      </c>
      <c r="D1961" s="3" t="str">
        <f>T("朱敏彥")</f>
        <v>朱敏彥</v>
      </c>
      <c r="E1961" s="3" t="str">
        <f>T("上海文藝")</f>
        <v>上海文藝</v>
      </c>
      <c r="F1961" s="3">
        <v>150</v>
      </c>
      <c r="G1961" s="3">
        <v>900</v>
      </c>
    </row>
    <row r="1962" spans="1:7" ht="14.25">
      <c r="A1962" s="3" t="str">
        <f>T("80686155")</f>
        <v>80686155</v>
      </c>
      <c r="B1962" s="14" t="s">
        <v>7939</v>
      </c>
      <c r="C1962" s="3" t="s">
        <v>1964</v>
      </c>
      <c r="D1962" s="3" t="str">
        <f>T("許孫")</f>
        <v>許孫</v>
      </c>
      <c r="E1962" s="3" t="str">
        <f>T("浙江攝影")</f>
        <v>浙江攝影</v>
      </c>
      <c r="F1962" s="3">
        <v>26</v>
      </c>
      <c r="G1962" s="3">
        <v>156</v>
      </c>
    </row>
    <row r="1963" spans="1:7" ht="14.25">
      <c r="A1963" s="3" t="str">
        <f>T("80686258")</f>
        <v>80686258</v>
      </c>
      <c r="B1963" s="14" t="s">
        <v>7943</v>
      </c>
      <c r="C1963" s="3" t="s">
        <v>1965</v>
      </c>
      <c r="D1963" s="3" t="str">
        <f>T("本社")</f>
        <v>本社</v>
      </c>
      <c r="E1963" s="3" t="str">
        <f>T("浙江攝影")</f>
        <v>浙江攝影</v>
      </c>
      <c r="F1963" s="3">
        <v>29</v>
      </c>
      <c r="G1963" s="3">
        <v>174</v>
      </c>
    </row>
    <row r="1964" spans="1:7" ht="14.25">
      <c r="A1964" s="3" t="str">
        <f>T("80686274")</f>
        <v>80686274</v>
      </c>
      <c r="B1964" s="14" t="s">
        <v>7945</v>
      </c>
      <c r="C1964" s="3" t="s">
        <v>1966</v>
      </c>
      <c r="D1964" s="3" t="str">
        <f>T("本社")</f>
        <v>本社</v>
      </c>
      <c r="E1964" s="3" t="str">
        <f>T("浙江攝影")</f>
        <v>浙江攝影</v>
      </c>
      <c r="F1964" s="3">
        <v>35</v>
      </c>
      <c r="G1964" s="3">
        <v>210</v>
      </c>
    </row>
    <row r="1965" spans="1:7" ht="14.25">
      <c r="A1965" s="3" t="str">
        <f>T("80686721")</f>
        <v>80686721</v>
      </c>
      <c r="B1965" s="14" t="s">
        <v>7947</v>
      </c>
      <c r="C1965" s="3" t="s">
        <v>1967</v>
      </c>
      <c r="D1965" s="3" t="str">
        <f>T("王旭烽")</f>
        <v>王旭烽</v>
      </c>
      <c r="E1965" s="3" t="str">
        <f>T("浙江攝影")</f>
        <v>浙江攝影</v>
      </c>
      <c r="F1965" s="3">
        <v>29.8</v>
      </c>
      <c r="G1965" s="3">
        <v>179</v>
      </c>
    </row>
    <row r="1966" spans="1:7" ht="14.25">
      <c r="A1966" s="3" t="str">
        <f>T("80689574E")</f>
        <v>80689574E</v>
      </c>
      <c r="B1966" s="14" t="s">
        <v>7950</v>
      </c>
      <c r="C1966" s="3" t="s">
        <v>1968</v>
      </c>
      <c r="D1966" s="3" t="str">
        <f>T("本社")</f>
        <v>本社</v>
      </c>
      <c r="E1966" s="3" t="str">
        <f>T("珠海")</f>
        <v>珠海</v>
      </c>
      <c r="F1966" s="3">
        <v>4.8</v>
      </c>
      <c r="G1966" s="3">
        <v>29</v>
      </c>
    </row>
    <row r="1967" spans="1:7" ht="14.25">
      <c r="A1967" s="3" t="str">
        <f>T("80689574F")</f>
        <v>80689574F</v>
      </c>
      <c r="B1967" s="14" t="s">
        <v>7950</v>
      </c>
      <c r="C1967" s="3" t="s">
        <v>1969</v>
      </c>
      <c r="D1967" s="3" t="str">
        <f>T("本社")</f>
        <v>本社</v>
      </c>
      <c r="E1967" s="3" t="str">
        <f>T("珠海")</f>
        <v>珠海</v>
      </c>
      <c r="F1967" s="3">
        <v>4.8</v>
      </c>
      <c r="G1967" s="3">
        <v>29</v>
      </c>
    </row>
    <row r="1968" spans="1:7" ht="14.25">
      <c r="A1968" s="3" t="str">
        <f>T("80690138")</f>
        <v>80690138</v>
      </c>
      <c r="B1968" s="14" t="s">
        <v>7954</v>
      </c>
      <c r="C1968" s="3" t="s">
        <v>1970</v>
      </c>
      <c r="D1968" s="3" t="str">
        <f>T("陳政")</f>
        <v>陳政</v>
      </c>
      <c r="E1968" s="3" t="str">
        <f>T("江西美術")</f>
        <v>江西美術</v>
      </c>
      <c r="F1968" s="3">
        <v>18</v>
      </c>
      <c r="G1968" s="3">
        <v>108</v>
      </c>
    </row>
    <row r="1969" spans="1:7" ht="14.25">
      <c r="A1969" s="3" t="str">
        <f>T("80690370")</f>
        <v>80690370</v>
      </c>
      <c r="B1969" s="14" t="s">
        <v>7957</v>
      </c>
      <c r="C1969" s="3" t="s">
        <v>1971</v>
      </c>
      <c r="D1969" s="3" t="str">
        <f>T("陳政")</f>
        <v>陳政</v>
      </c>
      <c r="E1969" s="3" t="str">
        <f>T("江西美術")</f>
        <v>江西美術</v>
      </c>
      <c r="F1969" s="3">
        <v>18</v>
      </c>
      <c r="G1969" s="3">
        <v>108</v>
      </c>
    </row>
    <row r="1970" spans="1:7" ht="14.25">
      <c r="A1970" s="3" t="str">
        <f>T("80690827")</f>
        <v>80690827</v>
      </c>
      <c r="B1970" s="14" t="s">
        <v>7959</v>
      </c>
      <c r="C1970" s="3" t="s">
        <v>1972</v>
      </c>
      <c r="D1970" s="3" t="str">
        <f>T("閔小玲")</f>
        <v>閔小玲</v>
      </c>
      <c r="E1970" s="3" t="str">
        <f>T("江西美術")</f>
        <v>江西美術</v>
      </c>
      <c r="F1970" s="3">
        <v>6</v>
      </c>
      <c r="G1970" s="3">
        <v>36</v>
      </c>
    </row>
    <row r="1971" spans="1:7" ht="14.25">
      <c r="A1971" s="3" t="str">
        <f>T("80691469")</f>
        <v>80691469</v>
      </c>
      <c r="B1971" s="14" t="s">
        <v>7962</v>
      </c>
      <c r="C1971" s="3" t="s">
        <v>1973</v>
      </c>
      <c r="D1971" s="3" t="str">
        <f>T("鄭偉")</f>
        <v>鄭偉</v>
      </c>
      <c r="E1971" s="3" t="str">
        <f>T("海潮攝影")</f>
        <v>海潮攝影</v>
      </c>
      <c r="F1971" s="3">
        <v>78</v>
      </c>
      <c r="G1971" s="3">
        <v>468</v>
      </c>
    </row>
    <row r="1972" spans="1:7" ht="14.25">
      <c r="A1972" s="3" t="str">
        <f>T("80694057")</f>
        <v>80694057</v>
      </c>
      <c r="B1972" s="14" t="s">
        <v>7966</v>
      </c>
      <c r="C1972" s="3" t="s">
        <v>1974</v>
      </c>
      <c r="D1972" s="3" t="str">
        <f>T("吳組緗")</f>
        <v>吳組緗</v>
      </c>
      <c r="E1972" s="3" t="str">
        <f>T("廣陵書社")</f>
        <v>廣陵書社</v>
      </c>
      <c r="F1972" s="3">
        <v>18</v>
      </c>
      <c r="G1972" s="3">
        <v>108</v>
      </c>
    </row>
    <row r="1973" spans="1:7" ht="14.25">
      <c r="A1973" s="3" t="str">
        <f>T("80694111")</f>
        <v>80694111</v>
      </c>
      <c r="B1973" s="14" t="s">
        <v>7969</v>
      </c>
      <c r="C1973" s="3" t="s">
        <v>1975</v>
      </c>
      <c r="D1973" s="3" t="str">
        <f>T("本社")</f>
        <v>本社</v>
      </c>
      <c r="E1973" s="3" t="str">
        <f>T("廣陵書社")</f>
        <v>廣陵書社</v>
      </c>
      <c r="F1973" s="3">
        <v>12.8</v>
      </c>
      <c r="G1973" s="3">
        <v>77</v>
      </c>
    </row>
    <row r="1974" spans="1:7" ht="14.25">
      <c r="A1974" s="3" t="str">
        <f>T("80694118")</f>
        <v>80694118</v>
      </c>
      <c r="B1974" s="14" t="s">
        <v>7971</v>
      </c>
      <c r="C1974" s="3" t="s">
        <v>1976</v>
      </c>
      <c r="D1974" s="3" t="str">
        <f>T("黃繼林")</f>
        <v>黃繼林</v>
      </c>
      <c r="E1974" s="3" t="str">
        <f>T("廣陵書社")</f>
        <v>廣陵書社</v>
      </c>
      <c r="F1974" s="3">
        <v>16</v>
      </c>
      <c r="G1974" s="3">
        <v>96</v>
      </c>
    </row>
    <row r="1975" spans="1:7" ht="14.25">
      <c r="A1975" s="3" t="str">
        <f>T("80694200")</f>
        <v>80694200</v>
      </c>
      <c r="B1975" s="14" t="s">
        <v>7974</v>
      </c>
      <c r="C1975" s="3" t="s">
        <v>1977</v>
      </c>
      <c r="D1975" s="3" t="str">
        <f>T("沈慧蘭")</f>
        <v>沈慧蘭</v>
      </c>
      <c r="E1975" s="3" t="str">
        <f>T("廣陵書社")</f>
        <v>廣陵書社</v>
      </c>
      <c r="F1975" s="3">
        <v>150</v>
      </c>
      <c r="G1975" s="3">
        <v>900</v>
      </c>
    </row>
    <row r="1976" spans="1:7" ht="14.25">
      <c r="A1976" s="3" t="str">
        <f>T("80694234")</f>
        <v>80694234</v>
      </c>
      <c r="B1976" s="14" t="s">
        <v>7977</v>
      </c>
      <c r="C1976" s="3" t="s">
        <v>1978</v>
      </c>
      <c r="D1976" s="3" t="str">
        <f>T("張振鏞")</f>
        <v>張振鏞</v>
      </c>
      <c r="E1976" s="3" t="str">
        <f>T("廣陵書社")</f>
        <v>廣陵書社</v>
      </c>
      <c r="F1976" s="3">
        <v>28</v>
      </c>
      <c r="G1976" s="3">
        <v>168</v>
      </c>
    </row>
    <row r="1977" spans="1:7" ht="14.25">
      <c r="A1977" s="3" t="str">
        <f>T("80694302")</f>
        <v>80694302</v>
      </c>
      <c r="B1977" s="14" t="s">
        <v>7980</v>
      </c>
      <c r="C1977" s="3" t="s">
        <v>1979</v>
      </c>
      <c r="D1977" s="3" t="str">
        <f>T("陳垣著")</f>
        <v>陳垣著</v>
      </c>
      <c r="E1977" s="3" t="str">
        <f>T("廣陵書社")</f>
        <v>廣陵書社</v>
      </c>
      <c r="F1977" s="3">
        <v>28</v>
      </c>
      <c r="G1977" s="3">
        <v>168</v>
      </c>
    </row>
    <row r="1978" spans="1:7" ht="14.25">
      <c r="A1978" s="3" t="str">
        <f>T("80694333")</f>
        <v>80694333</v>
      </c>
      <c r="B1978" s="14" t="s">
        <v>7983</v>
      </c>
      <c r="C1978" s="3" t="s">
        <v>1980</v>
      </c>
      <c r="D1978" s="3" t="str">
        <f>T("(宋)章如愚輯")</f>
        <v>(宋)章如愚輯</v>
      </c>
      <c r="E1978" s="3" t="str">
        <f>T("廣陵書社")</f>
        <v>廣陵書社</v>
      </c>
      <c r="F1978" s="3">
        <v>350</v>
      </c>
      <c r="G1978" s="3">
        <v>2100</v>
      </c>
    </row>
    <row r="1979" spans="1:7" ht="14.25">
      <c r="A1979" s="3" t="str">
        <f>T("80694496")</f>
        <v>80694496</v>
      </c>
      <c r="B1979" s="14" t="s">
        <v>7986</v>
      </c>
      <c r="C1979" s="3" t="s">
        <v>1981</v>
      </c>
      <c r="D1979" s="3" t="str">
        <f>T("韋人")</f>
        <v>韋人</v>
      </c>
      <c r="E1979" s="3" t="str">
        <f>T("廣陵書社")</f>
        <v>廣陵書社</v>
      </c>
      <c r="F1979" s="3">
        <v>36</v>
      </c>
      <c r="G1979" s="3">
        <v>216</v>
      </c>
    </row>
    <row r="1980" spans="1:7" ht="14.25">
      <c r="A1980" s="3" t="str">
        <f>T("80694498")</f>
        <v>80694498</v>
      </c>
      <c r="B1980" s="14" t="s">
        <v>7989</v>
      </c>
      <c r="C1980" s="3" t="s">
        <v>1982</v>
      </c>
      <c r="D1980" s="3" t="str">
        <f>T("李真")</f>
        <v>李真</v>
      </c>
      <c r="E1980" s="3" t="str">
        <f>T("廣陵書社")</f>
        <v>廣陵書社</v>
      </c>
      <c r="F1980" s="3">
        <v>36</v>
      </c>
      <c r="G1980" s="3">
        <v>216</v>
      </c>
    </row>
    <row r="1981" spans="1:7" ht="14.25">
      <c r="A1981" s="3" t="str">
        <f>T("80694499")</f>
        <v>80694499</v>
      </c>
      <c r="B1981" s="14" t="s">
        <v>7992</v>
      </c>
      <c r="C1981" s="3" t="s">
        <v>1983</v>
      </c>
      <c r="D1981" s="3" t="str">
        <f>T("鄭平")</f>
        <v>鄭平</v>
      </c>
      <c r="E1981" s="3" t="str">
        <f>T("廣陵書社")</f>
        <v>廣陵書社</v>
      </c>
      <c r="F1981" s="3">
        <v>36</v>
      </c>
      <c r="G1981" s="3">
        <v>216</v>
      </c>
    </row>
    <row r="1982" spans="1:7" ht="14.25">
      <c r="A1982" s="3" t="str">
        <f>T("80694503")</f>
        <v>80694503</v>
      </c>
      <c r="B1982" s="14" t="s">
        <v>7995</v>
      </c>
      <c r="C1982" s="3" t="s">
        <v>1984</v>
      </c>
      <c r="D1982" s="3" t="str">
        <f>T("韋明鏵")</f>
        <v>韋明鏵</v>
      </c>
      <c r="E1982" s="3" t="str">
        <f>T("廣陵書社")</f>
        <v>廣陵書社</v>
      </c>
      <c r="F1982" s="3">
        <v>36</v>
      </c>
      <c r="G1982" s="3">
        <v>216</v>
      </c>
    </row>
    <row r="1983" spans="1:7" ht="14.25">
      <c r="A1983" s="3" t="str">
        <f>T("80695651")</f>
        <v>80695651</v>
      </c>
      <c r="B1983" s="14" t="s">
        <v>2236</v>
      </c>
      <c r="C1983" s="3" t="s">
        <v>1985</v>
      </c>
      <c r="D1983" s="3" t="str">
        <f>T("方帆/劉光平")</f>
        <v>方帆/劉光平</v>
      </c>
      <c r="E1983" s="3" t="str">
        <f>T("雲南美術")</f>
        <v>雲南美術</v>
      </c>
      <c r="F1983" s="3">
        <v>24</v>
      </c>
      <c r="G1983" s="3">
        <v>144</v>
      </c>
    </row>
    <row r="1984" spans="1:7" ht="14.25">
      <c r="A1984" s="3" t="str">
        <f>T("80695651A")</f>
        <v>80695651A</v>
      </c>
      <c r="B1984" s="14" t="s">
        <v>2236</v>
      </c>
      <c r="C1984" s="3" t="s">
        <v>1986</v>
      </c>
      <c r="D1984" s="3" t="str">
        <f>T("趙曉鷹")</f>
        <v>趙曉鷹</v>
      </c>
      <c r="E1984" s="3" t="str">
        <f>T("雲南美術")</f>
        <v>雲南美術</v>
      </c>
      <c r="F1984" s="3">
        <v>24</v>
      </c>
      <c r="G1984" s="3">
        <v>144</v>
      </c>
    </row>
    <row r="1985" spans="1:7" ht="14.25">
      <c r="A1985" s="3" t="str">
        <f>T("80695827")</f>
        <v>80695827</v>
      </c>
      <c r="B1985" s="14" t="s">
        <v>8002</v>
      </c>
      <c r="C1985" s="3" t="s">
        <v>1987</v>
      </c>
      <c r="D1985" s="3" t="str">
        <f>T("楊旭恒 羅寧")</f>
        <v>楊旭恒 羅寧</v>
      </c>
      <c r="E1985" s="3" t="str">
        <f>T("雲南美術")</f>
        <v>雲南美術</v>
      </c>
      <c r="F1985" s="3">
        <v>35</v>
      </c>
      <c r="G1985" s="3">
        <v>210</v>
      </c>
    </row>
    <row r="1986" spans="1:7" ht="14.25">
      <c r="A1986" s="3" t="str">
        <f>T("80696359")</f>
        <v>80696359</v>
      </c>
      <c r="B1986" s="14" t="s">
        <v>8005</v>
      </c>
      <c r="C1986" s="3" t="s">
        <v>1988</v>
      </c>
      <c r="D1986" s="3" t="str">
        <f>T("浦江清")</f>
        <v>浦江清</v>
      </c>
      <c r="E1986" s="3" t="str">
        <f>T("天津古籍")</f>
        <v>天津古籍</v>
      </c>
      <c r="F1986" s="3">
        <v>28</v>
      </c>
      <c r="G1986" s="3">
        <v>168</v>
      </c>
    </row>
    <row r="1987" spans="1:7" ht="14.25">
      <c r="A1987" s="3" t="str">
        <f>T("80696396")</f>
        <v>80696396</v>
      </c>
      <c r="B1987" s="14" t="s">
        <v>8008</v>
      </c>
      <c r="C1987" s="3" t="s">
        <v>1989</v>
      </c>
      <c r="D1987" s="3" t="str">
        <f>T("汪少雲")</f>
        <v>汪少雲</v>
      </c>
      <c r="E1987" s="3" t="str">
        <f>T("天津古籍")</f>
        <v>天津古籍</v>
      </c>
      <c r="F1987" s="3">
        <v>210</v>
      </c>
      <c r="G1987" s="3">
        <v>1260</v>
      </c>
    </row>
    <row r="1988" spans="1:7" ht="14.25">
      <c r="A1988" s="3" t="str">
        <f>T("80696445")</f>
        <v>80696445</v>
      </c>
      <c r="B1988" s="14" t="s">
        <v>8011</v>
      </c>
      <c r="C1988" s="3" t="s">
        <v>1990</v>
      </c>
      <c r="D1988" s="3" t="str">
        <f>T("浦漢明")</f>
        <v>浦漢明</v>
      </c>
      <c r="E1988" s="3" t="str">
        <f>T("天津古籍")</f>
        <v>天津古籍</v>
      </c>
      <c r="F1988" s="3">
        <v>19</v>
      </c>
      <c r="G1988" s="3">
        <v>114</v>
      </c>
    </row>
    <row r="1989" spans="1:7" ht="14.25">
      <c r="A1989" s="3" t="str">
        <f>T("80696481")</f>
        <v>80696481</v>
      </c>
      <c r="B1989" s="14" t="s">
        <v>8014</v>
      </c>
      <c r="C1989" s="3" t="s">
        <v>1991</v>
      </c>
      <c r="D1989" s="3" t="str">
        <f>T("張世斌")</f>
        <v>張世斌</v>
      </c>
      <c r="E1989" s="3" t="str">
        <f>T("天津古籍")</f>
        <v>天津古籍</v>
      </c>
      <c r="F1989" s="3">
        <v>17</v>
      </c>
      <c r="G1989" s="3">
        <v>102</v>
      </c>
    </row>
    <row r="1990" spans="1:7" ht="14.25">
      <c r="A1990" s="3" t="str">
        <f>T("80696524")</f>
        <v>80696524</v>
      </c>
      <c r="B1990" s="14" t="s">
        <v>8017</v>
      </c>
      <c r="C1990" s="3" t="s">
        <v>1992</v>
      </c>
      <c r="D1990" s="3" t="str">
        <f>T("浦漢明，彭書麟整理")</f>
        <v>浦漢明，彭書麟整理</v>
      </c>
      <c r="E1990" s="3" t="str">
        <f>T("天津古籍")</f>
        <v>天津古籍</v>
      </c>
      <c r="F1990" s="3">
        <v>27</v>
      </c>
      <c r="G1990" s="3">
        <v>162</v>
      </c>
    </row>
    <row r="1991" spans="1:7" ht="14.25">
      <c r="A1991" s="3" t="str">
        <f>T("80696525")</f>
        <v>80696525</v>
      </c>
      <c r="B1991" s="14" t="s">
        <v>8020</v>
      </c>
      <c r="C1991" s="3" t="s">
        <v>1993</v>
      </c>
      <c r="D1991" s="3" t="str">
        <f>T("劉文濤")</f>
        <v>劉文濤</v>
      </c>
      <c r="E1991" s="3" t="str">
        <f>T("天津古籍")</f>
        <v>天津古籍</v>
      </c>
      <c r="F1991" s="3">
        <v>28</v>
      </c>
      <c r="G1991" s="3">
        <v>168</v>
      </c>
    </row>
    <row r="1992" spans="1:7" ht="14.25">
      <c r="A1992" s="3" t="str">
        <f>T("80696572")</f>
        <v>80696572</v>
      </c>
      <c r="B1992" s="14" t="s">
        <v>8023</v>
      </c>
      <c r="C1992" s="3" t="s">
        <v>1994</v>
      </c>
      <c r="D1992" s="3" t="str">
        <f>T("高航")</f>
        <v>高航</v>
      </c>
      <c r="E1992" s="3" t="str">
        <f>T("天津古籍")</f>
        <v>天津古籍</v>
      </c>
      <c r="F1992" s="3">
        <v>30</v>
      </c>
      <c r="G1992" s="3">
        <v>180</v>
      </c>
    </row>
    <row r="1993" spans="1:7" ht="14.25">
      <c r="A1993" s="3" t="str">
        <f>T("80696606")</f>
        <v>80696606</v>
      </c>
      <c r="B1993" s="14" t="s">
        <v>8026</v>
      </c>
      <c r="C1993" s="3" t="s">
        <v>1995</v>
      </c>
      <c r="D1993" s="3" t="str">
        <f>T("鄭鶴聲")</f>
        <v>鄭鶴聲</v>
      </c>
      <c r="E1993" s="3" t="str">
        <f>T("天津古籍")</f>
        <v>天津古籍</v>
      </c>
      <c r="F1993" s="3">
        <v>64</v>
      </c>
      <c r="G1993" s="3">
        <v>384</v>
      </c>
    </row>
    <row r="1994" spans="1:7" ht="14.25">
      <c r="A1994" s="3" t="str">
        <f>T("80696692")</f>
        <v>80696692</v>
      </c>
      <c r="B1994" s="14" t="s">
        <v>8029</v>
      </c>
      <c r="C1994" s="3" t="s">
        <v>1996</v>
      </c>
      <c r="D1994" s="3" t="str">
        <f>T("崔雲勝")</f>
        <v>崔雲勝</v>
      </c>
      <c r="E1994" s="3" t="str">
        <f>T("天津古籍")</f>
        <v>天津古籍</v>
      </c>
      <c r="F1994" s="3">
        <v>24</v>
      </c>
      <c r="G1994" s="3">
        <v>144</v>
      </c>
    </row>
    <row r="1995" spans="1:7" ht="14.25">
      <c r="A1995" s="3" t="str">
        <f>T("80702669")</f>
        <v>80702669</v>
      </c>
      <c r="B1995" s="14" t="s">
        <v>8032</v>
      </c>
      <c r="C1995" s="3" t="s">
        <v>1997</v>
      </c>
      <c r="D1995" s="3" t="str">
        <f>T("神秘中國創作組")</f>
        <v>神秘中國創作組</v>
      </c>
      <c r="E1995" s="3" t="str">
        <f>T("吉林文史")</f>
        <v>吉林文史</v>
      </c>
      <c r="F1995" s="3">
        <v>29.8</v>
      </c>
      <c r="G1995" s="3">
        <v>179</v>
      </c>
    </row>
    <row r="1996" spans="1:7" ht="14.25">
      <c r="A1996" s="3" t="str">
        <f>T("80702672")</f>
        <v>80702672</v>
      </c>
      <c r="B1996" s="14" t="s">
        <v>8035</v>
      </c>
      <c r="C1996" s="3" t="s">
        <v>1998</v>
      </c>
      <c r="D1996" s="3" t="str">
        <f>T("神秘中國創作組")</f>
        <v>神秘中國創作組</v>
      </c>
      <c r="E1996" s="3" t="str">
        <f>T("吉林文史")</f>
        <v>吉林文史</v>
      </c>
      <c r="F1996" s="3">
        <v>29.8</v>
      </c>
      <c r="G1996" s="3">
        <v>179</v>
      </c>
    </row>
    <row r="1997" spans="1:7" ht="14.25">
      <c r="A1997" s="3" t="str">
        <f>T("80702673")</f>
        <v>80702673</v>
      </c>
      <c r="B1997" s="14" t="s">
        <v>8037</v>
      </c>
      <c r="C1997" s="3" t="s">
        <v>1999</v>
      </c>
      <c r="D1997" s="3" t="str">
        <f>T("神秘中國創作組")</f>
        <v>神秘中國創作組</v>
      </c>
      <c r="E1997" s="3" t="str">
        <f>T("吉林文史")</f>
        <v>吉林文史</v>
      </c>
      <c r="F1997" s="3">
        <v>29.8</v>
      </c>
      <c r="G1997" s="3">
        <v>179</v>
      </c>
    </row>
    <row r="1998" spans="1:7" ht="14.25">
      <c r="A1998" s="3" t="str">
        <f>T("80703149")</f>
        <v>80703149</v>
      </c>
      <c r="B1998" s="14" t="s">
        <v>8039</v>
      </c>
      <c r="C1998" s="3" t="s">
        <v>2000</v>
      </c>
      <c r="D1998" s="3" t="str">
        <f>T(".")</f>
        <v>.</v>
      </c>
      <c r="E1998" s="3" t="str">
        <f>T("百家")</f>
        <v>百家</v>
      </c>
      <c r="F1998" s="3">
        <v>22</v>
      </c>
      <c r="G1998" s="3">
        <v>132</v>
      </c>
    </row>
    <row r="1999" spans="1:7" ht="14.25">
      <c r="A1999" s="3" t="str">
        <f>T("80703641")</f>
        <v>80703641</v>
      </c>
      <c r="B1999" s="14" t="s">
        <v>8041</v>
      </c>
      <c r="C1999" s="3" t="s">
        <v>2001</v>
      </c>
      <c r="D1999" s="3" t="str">
        <f>T("周天")</f>
        <v>周天</v>
      </c>
      <c r="E1999" s="3" t="str">
        <f>T("百家")</f>
        <v>百家</v>
      </c>
      <c r="F1999" s="3">
        <v>20</v>
      </c>
      <c r="G1999" s="3">
        <v>120</v>
      </c>
    </row>
    <row r="2000" spans="1:7" ht="14.25">
      <c r="A2000" s="3" t="str">
        <f>T("80703971")</f>
        <v>80703971</v>
      </c>
      <c r="B2000" s="14" t="s">
        <v>8044</v>
      </c>
      <c r="C2000" s="3" t="s">
        <v>2002</v>
      </c>
      <c r="D2000" s="3" t="str">
        <f>T("袁念琪著")</f>
        <v>袁念琪著</v>
      </c>
      <c r="E2000" s="3" t="str">
        <f>T("百家")</f>
        <v>百家</v>
      </c>
      <c r="F2000" s="3">
        <v>32</v>
      </c>
      <c r="G2000" s="3">
        <v>192</v>
      </c>
    </row>
    <row r="2001" spans="1:7" ht="14.25">
      <c r="A2001" s="3" t="str">
        <f>T("80706600")</f>
        <v>80706600</v>
      </c>
      <c r="B2001" s="14" t="s">
        <v>8047</v>
      </c>
      <c r="C2001" s="3" t="s">
        <v>2003</v>
      </c>
      <c r="D2001" s="3" t="str">
        <f>T("呂永泉")</f>
        <v>呂永泉</v>
      </c>
      <c r="E2001" s="3" t="str">
        <f>T("上海遠東")</f>
        <v>上海遠東</v>
      </c>
      <c r="F2001" s="3">
        <v>28</v>
      </c>
      <c r="G2001" s="3">
        <v>168</v>
      </c>
    </row>
    <row r="2002" spans="1:7" ht="14.25">
      <c r="A2002" s="3" t="str">
        <f>T("80706618")</f>
        <v>80706618</v>
      </c>
      <c r="B2002" s="14" t="s">
        <v>8050</v>
      </c>
      <c r="C2002" s="3" t="s">
        <v>2004</v>
      </c>
      <c r="D2002" s="3" t="str">
        <f>T("陳漱渝")</f>
        <v>陳漱渝</v>
      </c>
      <c r="E2002" s="3" t="str">
        <f>T("上海遠東")</f>
        <v>上海遠東</v>
      </c>
      <c r="F2002" s="3">
        <v>29</v>
      </c>
      <c r="G2002" s="3">
        <v>174</v>
      </c>
    </row>
    <row r="2003" spans="1:7" ht="14.25">
      <c r="A2003" s="3" t="str">
        <f>T("80707914")</f>
        <v>80707914</v>
      </c>
      <c r="B2003" s="14" t="s">
        <v>8053</v>
      </c>
      <c r="C2003" s="3" t="s">
        <v>2005</v>
      </c>
      <c r="D2003" s="3" t="str">
        <f>T("楊和傑")</f>
        <v>楊和傑</v>
      </c>
      <c r="E2003" s="3" t="str">
        <f>T("黃山書社")</f>
        <v>黃山書社</v>
      </c>
      <c r="F2003" s="3">
        <v>32</v>
      </c>
      <c r="G2003" s="3">
        <v>192</v>
      </c>
    </row>
    <row r="2004" spans="1:7" ht="14.25">
      <c r="A2004" s="3" t="str">
        <f>T("80710108")</f>
        <v>80710108</v>
      </c>
      <c r="B2004" s="14" t="s">
        <v>8056</v>
      </c>
      <c r="C2004" s="3" t="s">
        <v>2006</v>
      </c>
      <c r="D2004" s="3" t="str">
        <f>T("張潤武")</f>
        <v>張潤武</v>
      </c>
      <c r="E2004" s="3" t="str">
        <f>T("濟南")</f>
        <v>濟南</v>
      </c>
      <c r="F2004" s="3">
        <v>30</v>
      </c>
      <c r="G2004" s="3">
        <v>180</v>
      </c>
    </row>
    <row r="2005" spans="1:7" ht="14.25">
      <c r="A2005" s="3" t="str">
        <f>T("80710111")</f>
        <v>80710111</v>
      </c>
      <c r="B2005" s="14" t="s">
        <v>8059</v>
      </c>
      <c r="C2005" s="3" t="s">
        <v>2007</v>
      </c>
      <c r="D2005" s="3" t="str">
        <f>T("張潤武")</f>
        <v>張潤武</v>
      </c>
      <c r="E2005" s="3" t="str">
        <f>T("濟南")</f>
        <v>濟南</v>
      </c>
      <c r="F2005" s="3">
        <v>35</v>
      </c>
      <c r="G2005" s="3">
        <v>210</v>
      </c>
    </row>
    <row r="2006" spans="1:7" ht="14.25">
      <c r="A2006" s="3" t="str">
        <f>T("80710293")</f>
        <v>80710293</v>
      </c>
      <c r="B2006" s="14" t="s">
        <v>8061</v>
      </c>
      <c r="C2006" s="3" t="s">
        <v>2008</v>
      </c>
      <c r="D2006" s="3" t="str">
        <f>T("張潤武")</f>
        <v>張潤武</v>
      </c>
      <c r="E2006" s="3" t="str">
        <f>T("濟南")</f>
        <v>濟南</v>
      </c>
      <c r="F2006" s="3">
        <v>50</v>
      </c>
      <c r="G2006" s="3">
        <v>300</v>
      </c>
    </row>
    <row r="2007" spans="1:7" ht="14.25">
      <c r="A2007" s="3" t="str">
        <f>T("80710596")</f>
        <v>80710596</v>
      </c>
      <c r="B2007" s="14" t="s">
        <v>8063</v>
      </c>
      <c r="C2007" s="3" t="s">
        <v>2009</v>
      </c>
      <c r="D2007" s="3" t="str">
        <f>T("洪亮")</f>
        <v>洪亮</v>
      </c>
      <c r="E2007" s="3" t="str">
        <f>T("濟南")</f>
        <v>濟南</v>
      </c>
      <c r="F2007" s="3">
        <v>27.5</v>
      </c>
      <c r="G2007" s="3">
        <v>162</v>
      </c>
    </row>
    <row r="2008" spans="1:7" ht="14.25">
      <c r="A2008" s="3" t="str">
        <f>T("80710597")</f>
        <v>80710597</v>
      </c>
      <c r="B2008" s="14" t="s">
        <v>8066</v>
      </c>
      <c r="C2008" s="3" t="s">
        <v>2010</v>
      </c>
      <c r="D2008" s="3" t="str">
        <f>T("莊錫華")</f>
        <v>莊錫華</v>
      </c>
      <c r="E2008" s="3" t="str">
        <f>T("濟南")</f>
        <v>濟南</v>
      </c>
      <c r="F2008" s="3">
        <v>25</v>
      </c>
      <c r="G2008" s="3">
        <v>150</v>
      </c>
    </row>
    <row r="2009" spans="1:7" ht="14.25">
      <c r="A2009" s="3" t="str">
        <f>T("80713213")</f>
        <v>80713213</v>
      </c>
      <c r="B2009" s="14" t="s">
        <v>8069</v>
      </c>
      <c r="C2009" s="3" t="s">
        <v>2011</v>
      </c>
      <c r="D2009" s="3" t="str">
        <f>T("(元)薛景石")</f>
        <v>(元)薛景石</v>
      </c>
      <c r="E2009" s="3" t="str">
        <f>T("山東畫報")</f>
        <v>山東畫報</v>
      </c>
      <c r="F2009" s="3">
        <v>31</v>
      </c>
      <c r="G2009" s="3">
        <v>186</v>
      </c>
    </row>
    <row r="2010" spans="1:7" ht="14.25">
      <c r="A2010" s="3" t="str">
        <f>T("80713457")</f>
        <v>80713457</v>
      </c>
      <c r="B2010" s="14" t="s">
        <v>8072</v>
      </c>
      <c r="C2010" s="3" t="s">
        <v>2012</v>
      </c>
      <c r="D2010" s="3" t="str">
        <f>T("袁庭棟")</f>
        <v>袁庭棟</v>
      </c>
      <c r="E2010" s="3" t="str">
        <f>T("山東畫報")</f>
        <v>山東畫報</v>
      </c>
      <c r="F2010" s="3">
        <v>13</v>
      </c>
      <c r="G2010" s="3">
        <v>78</v>
      </c>
    </row>
    <row r="2011" spans="1:7" ht="14.25">
      <c r="A2011" s="3" t="str">
        <f>T("80713655")</f>
        <v>80713655</v>
      </c>
      <c r="B2011" s="14" t="s">
        <v>8075</v>
      </c>
      <c r="C2011" s="3" t="s">
        <v>2013</v>
      </c>
      <c r="D2011" s="3" t="str">
        <f>T("陳建功傅光明")</f>
        <v>陳建功傅光明</v>
      </c>
      <c r="E2011" s="3" t="str">
        <f>T("山東畫報")</f>
        <v>山東畫報</v>
      </c>
      <c r="F2011" s="3">
        <v>21</v>
      </c>
      <c r="G2011" s="3">
        <v>126</v>
      </c>
    </row>
    <row r="2012" spans="1:7" ht="14.25">
      <c r="A2012" s="3" t="str">
        <f>T("80713714")</f>
        <v>80713714</v>
      </c>
      <c r="B2012" s="14" t="s">
        <v>8078</v>
      </c>
      <c r="C2012" s="3" t="s">
        <v>2014</v>
      </c>
      <c r="D2012" s="3" t="str">
        <f>T("黃美序")</f>
        <v>黃美序</v>
      </c>
      <c r="E2012" s="3" t="str">
        <f>T("山東畫報")</f>
        <v>山東畫報</v>
      </c>
      <c r="F2012" s="3">
        <v>47</v>
      </c>
      <c r="G2012" s="3">
        <v>282</v>
      </c>
    </row>
    <row r="2013" spans="1:7" ht="14.25">
      <c r="A2013" s="3" t="str">
        <f>T("80713796")</f>
        <v>80713796</v>
      </c>
      <c r="B2013" s="14" t="s">
        <v>8081</v>
      </c>
      <c r="C2013" s="3" t="s">
        <v>2015</v>
      </c>
      <c r="D2013" s="3" t="str">
        <f>T("朋星")</f>
        <v>朋星</v>
      </c>
      <c r="E2013" s="3" t="str">
        <f>T("山東畫報")</f>
        <v>山東畫報</v>
      </c>
      <c r="F2013" s="3">
        <v>25</v>
      </c>
      <c r="G2013" s="3">
        <v>150</v>
      </c>
    </row>
    <row r="2014" spans="1:7" ht="14.25">
      <c r="A2014" s="3" t="str">
        <f>T("80715234")</f>
        <v>80715234</v>
      </c>
      <c r="B2014" s="14" t="s">
        <v>8084</v>
      </c>
      <c r="C2014" s="3" t="s">
        <v>2016</v>
      </c>
      <c r="D2014" s="3" t="str">
        <f>T("夏風")</f>
        <v>夏風</v>
      </c>
      <c r="E2014" s="3" t="str">
        <f>T("浙江古籍")</f>
        <v>浙江古籍</v>
      </c>
      <c r="F2014" s="3">
        <v>28</v>
      </c>
      <c r="G2014" s="3">
        <v>168</v>
      </c>
    </row>
    <row r="2015" spans="1:7" ht="14.25">
      <c r="A2015" s="3" t="str">
        <f>T("80715235")</f>
        <v>80715235</v>
      </c>
      <c r="B2015" s="14" t="s">
        <v>8086</v>
      </c>
      <c r="C2015" s="3" t="s">
        <v>2017</v>
      </c>
      <c r="D2015" s="3" t="str">
        <f>T("夏風")</f>
        <v>夏風</v>
      </c>
      <c r="E2015" s="3" t="str">
        <f>T("浙江古籍")</f>
        <v>浙江古籍</v>
      </c>
      <c r="F2015" s="3">
        <v>28</v>
      </c>
      <c r="G2015" s="3">
        <v>168</v>
      </c>
    </row>
    <row r="2016" spans="1:7" ht="14.25">
      <c r="A2016" s="3" t="str">
        <f>T("80715236")</f>
        <v>80715236</v>
      </c>
      <c r="B2016" s="14" t="s">
        <v>8088</v>
      </c>
      <c r="C2016" s="3" t="s">
        <v>2018</v>
      </c>
      <c r="D2016" s="3" t="str">
        <f>T("夏風")</f>
        <v>夏風</v>
      </c>
      <c r="E2016" s="3" t="str">
        <f>T("浙江古籍")</f>
        <v>浙江古籍</v>
      </c>
      <c r="F2016" s="3">
        <v>28</v>
      </c>
      <c r="G2016" s="3">
        <v>168</v>
      </c>
    </row>
    <row r="2017" spans="1:7" ht="14.25">
      <c r="A2017" s="3" t="str">
        <f>T("80715237")</f>
        <v>80715237</v>
      </c>
      <c r="B2017" s="14" t="s">
        <v>8090</v>
      </c>
      <c r="C2017" s="3" t="s">
        <v>2019</v>
      </c>
      <c r="D2017" s="3" t="str">
        <f>T("夏風")</f>
        <v>夏風</v>
      </c>
      <c r="E2017" s="3" t="str">
        <f>T("浙江古籍")</f>
        <v>浙江古籍</v>
      </c>
      <c r="F2017" s="3">
        <v>28</v>
      </c>
      <c r="G2017" s="3">
        <v>168</v>
      </c>
    </row>
    <row r="2018" spans="1:7" ht="14.25">
      <c r="A2018" s="3" t="str">
        <f>T("80715281")</f>
        <v>80715281</v>
      </c>
      <c r="B2018" s="14" t="s">
        <v>8092</v>
      </c>
      <c r="C2018" s="3" t="s">
        <v>2020</v>
      </c>
      <c r="D2018" s="3" t="str">
        <f>T("陳振濂")</f>
        <v>陳振濂</v>
      </c>
      <c r="E2018" s="3" t="str">
        <f>T("浙江古籍")</f>
        <v>浙江古籍</v>
      </c>
      <c r="F2018" s="3">
        <v>38</v>
      </c>
      <c r="G2018" s="3">
        <v>228</v>
      </c>
    </row>
    <row r="2019" spans="1:7" ht="14.25">
      <c r="A2019" s="3" t="str">
        <f>T("80715374")</f>
        <v>80715374</v>
      </c>
      <c r="B2019" s="14" t="s">
        <v>8095</v>
      </c>
      <c r="C2019" s="3" t="s">
        <v>2021</v>
      </c>
      <c r="D2019" s="3" t="str">
        <f>T("魯迅")</f>
        <v>魯迅</v>
      </c>
      <c r="E2019" s="3" t="str">
        <f>T("浙江古籍")</f>
        <v>浙江古籍</v>
      </c>
      <c r="F2019" s="3">
        <v>38</v>
      </c>
      <c r="G2019" s="3">
        <v>228</v>
      </c>
    </row>
    <row r="2020" spans="1:7" ht="14.25">
      <c r="A2020" s="3" t="str">
        <f>T("80723499")</f>
        <v>80723499</v>
      </c>
      <c r="B2020" s="14" t="s">
        <v>8097</v>
      </c>
      <c r="C2020" s="3" t="s">
        <v>2022</v>
      </c>
      <c r="D2020" s="3" t="str">
        <f>T("馮苓植. 著")</f>
        <v>馮苓植. 著</v>
      </c>
      <c r="E2020" s="3" t="str">
        <f>T("遠方")</f>
        <v>遠方</v>
      </c>
      <c r="F2020" s="3">
        <v>58</v>
      </c>
      <c r="G2020" s="3">
        <v>348</v>
      </c>
    </row>
    <row r="2021" spans="1:7" ht="14.25">
      <c r="A2021" s="3" t="str">
        <f>T("80724294")</f>
        <v>80724294</v>
      </c>
      <c r="B2021" s="14" t="s">
        <v>8100</v>
      </c>
      <c r="C2021" s="3" t="s">
        <v>2023</v>
      </c>
      <c r="D2021" s="3" t="str">
        <f>T(".")</f>
        <v>.</v>
      </c>
      <c r="E2021" s="3" t="str">
        <f>T("京華")</f>
        <v>京華</v>
      </c>
      <c r="F2021" s="3">
        <v>26.8</v>
      </c>
      <c r="G2021" s="3">
        <v>161</v>
      </c>
    </row>
    <row r="2022" spans="1:7" ht="14.25">
      <c r="A2022" s="3" t="str">
        <f>T("80724298")</f>
        <v>80724298</v>
      </c>
      <c r="B2022" s="14" t="s">
        <v>8103</v>
      </c>
      <c r="C2022" s="3" t="s">
        <v>2024</v>
      </c>
      <c r="D2022" s="3" t="str">
        <f>T("曾紀鑫")</f>
        <v>曾紀鑫</v>
      </c>
      <c r="E2022" s="3" t="str">
        <f>T("京華")</f>
        <v>京華</v>
      </c>
      <c r="F2022" s="3">
        <v>26.8</v>
      </c>
      <c r="G2022" s="3">
        <v>161</v>
      </c>
    </row>
    <row r="2023" spans="1:7" ht="14.25">
      <c r="A2023" s="3" t="str">
        <f>T("80724349B")</f>
        <v>80724349B</v>
      </c>
      <c r="B2023" s="14" t="s">
        <v>8105</v>
      </c>
      <c r="C2023" s="3" t="s">
        <v>2025</v>
      </c>
      <c r="D2023" s="3" t="str">
        <f>T("盧定興")</f>
        <v>盧定興</v>
      </c>
      <c r="E2023" s="3" t="str">
        <f>T("京華")</f>
        <v>京華</v>
      </c>
      <c r="F2023" s="3">
        <v>29.8</v>
      </c>
      <c r="G2023" s="3">
        <v>179</v>
      </c>
    </row>
    <row r="2024" spans="1:7" ht="14.25">
      <c r="A2024" s="3" t="str">
        <f>T("80724349C")</f>
        <v>80724349C</v>
      </c>
      <c r="B2024" s="14" t="s">
        <v>8105</v>
      </c>
      <c r="C2024" s="3" t="s">
        <v>2026</v>
      </c>
      <c r="D2024" s="3" t="str">
        <f>T("盧定興")</f>
        <v>盧定興</v>
      </c>
      <c r="E2024" s="3" t="str">
        <f>T("京華")</f>
        <v>京華</v>
      </c>
      <c r="F2024" s="3">
        <v>29.8</v>
      </c>
      <c r="G2024" s="3">
        <v>179</v>
      </c>
    </row>
    <row r="2025" spans="1:7" ht="14.25">
      <c r="A2025" s="3" t="str">
        <f>T("80724349H")</f>
        <v>80724349H</v>
      </c>
      <c r="B2025" s="14" t="s">
        <v>8105</v>
      </c>
      <c r="C2025" s="3" t="s">
        <v>2027</v>
      </c>
      <c r="D2025" s="3" t="str">
        <f>T("盧定興")</f>
        <v>盧定興</v>
      </c>
      <c r="E2025" s="3" t="str">
        <f>T("京華")</f>
        <v>京華</v>
      </c>
      <c r="F2025" s="3">
        <v>29.8</v>
      </c>
      <c r="G2025" s="3">
        <v>179</v>
      </c>
    </row>
    <row r="2026" spans="1:7" ht="14.25">
      <c r="A2026" s="3" t="str">
        <f>T("80724607")</f>
        <v>80724607</v>
      </c>
      <c r="B2026" s="14" t="s">
        <v>8110</v>
      </c>
      <c r="C2026" s="3" t="s">
        <v>2028</v>
      </c>
      <c r="D2026" s="3" t="str">
        <f>T("羅蘭德著")</f>
        <v>羅蘭德著</v>
      </c>
      <c r="E2026" s="3" t="str">
        <f>T("京華")</f>
        <v>京華</v>
      </c>
      <c r="F2026" s="3">
        <v>22.8</v>
      </c>
      <c r="G2026" s="3">
        <v>137</v>
      </c>
    </row>
    <row r="2027" spans="1:7" ht="14.25">
      <c r="A2027" s="3" t="str">
        <f>T("80725340")</f>
        <v>80725340</v>
      </c>
      <c r="B2027" s="14" t="s">
        <v>8113</v>
      </c>
      <c r="C2027" s="3" t="s">
        <v>2029</v>
      </c>
      <c r="D2027" s="3" t="str">
        <f>T("陳琪")</f>
        <v>陳琪</v>
      </c>
      <c r="E2027" s="3" t="str">
        <f>T("上海書畫")</f>
        <v>上海書畫</v>
      </c>
      <c r="F2027" s="3">
        <v>180</v>
      </c>
      <c r="G2027" s="3">
        <v>1080</v>
      </c>
    </row>
    <row r="2028" spans="1:7" ht="14.25">
      <c r="A2028" s="3" t="str">
        <f>T("80725733")</f>
        <v>80725733</v>
      </c>
      <c r="B2028" s="14" t="s">
        <v>8116</v>
      </c>
      <c r="C2028" s="3" t="s">
        <v>2030</v>
      </c>
      <c r="D2028" s="3" t="str">
        <f>T("本社")</f>
        <v>本社</v>
      </c>
      <c r="E2028" s="3" t="str">
        <f>T("上海書畫")</f>
        <v>上海書畫</v>
      </c>
      <c r="F2028" s="3">
        <v>20</v>
      </c>
      <c r="G2028" s="3">
        <v>120</v>
      </c>
    </row>
    <row r="2029" spans="1:7" ht="14.25">
      <c r="A2029" s="3" t="str">
        <f>T("80725735")</f>
        <v>80725735</v>
      </c>
      <c r="B2029" s="14" t="s">
        <v>8118</v>
      </c>
      <c r="C2029" s="3" t="s">
        <v>2031</v>
      </c>
      <c r="D2029" s="3" t="str">
        <f>T("本社")</f>
        <v>本社</v>
      </c>
      <c r="E2029" s="3" t="str">
        <f>T("上海書畫")</f>
        <v>上海書畫</v>
      </c>
      <c r="F2029" s="3">
        <v>38</v>
      </c>
      <c r="G2029" s="3">
        <v>228</v>
      </c>
    </row>
    <row r="2030" spans="1:7" ht="14.25">
      <c r="A2030" s="3" t="str">
        <f>T("80725792")</f>
        <v>80725792</v>
      </c>
      <c r="B2030" s="14" t="s">
        <v>8120</v>
      </c>
      <c r="C2030" s="3" t="s">
        <v>2032</v>
      </c>
      <c r="D2030" s="3" t="str">
        <f>T("上海書畫出版社編")</f>
        <v>上海書畫出版社編</v>
      </c>
      <c r="E2030" s="3" t="str">
        <f>T("上海書畫")</f>
        <v>上海書畫</v>
      </c>
      <c r="F2030" s="3">
        <v>28</v>
      </c>
      <c r="G2030" s="3">
        <v>168</v>
      </c>
    </row>
    <row r="2031" spans="1:7" ht="14.25">
      <c r="A2031" s="3" t="str">
        <f>T("80725800")</f>
        <v>80725800</v>
      </c>
      <c r="B2031" s="14" t="s">
        <v>8123</v>
      </c>
      <c r="C2031" s="3" t="s">
        <v>2033</v>
      </c>
      <c r="D2031" s="3" t="str">
        <f>T("上海書畫出版社編")</f>
        <v>上海書畫出版社編</v>
      </c>
      <c r="E2031" s="3" t="str">
        <f>T("上海書畫")</f>
        <v>上海書畫</v>
      </c>
      <c r="F2031" s="3">
        <v>60</v>
      </c>
      <c r="G2031" s="3">
        <v>360</v>
      </c>
    </row>
    <row r="2032" spans="1:7" ht="14.25">
      <c r="A2032" s="3" t="str">
        <f>T("80725801")</f>
        <v>80725801</v>
      </c>
      <c r="B2032" s="14" t="s">
        <v>8125</v>
      </c>
      <c r="C2032" s="3" t="s">
        <v>2034</v>
      </c>
      <c r="D2032" s="3" t="str">
        <f>T("上海書畫出版社編")</f>
        <v>上海書畫出版社編</v>
      </c>
      <c r="E2032" s="3" t="str">
        <f>T("上海書畫")</f>
        <v>上海書畫</v>
      </c>
      <c r="F2032" s="3">
        <v>80</v>
      </c>
      <c r="G2032" s="3">
        <v>480</v>
      </c>
    </row>
    <row r="2033" spans="1:7" ht="14.25">
      <c r="A2033" s="3" t="str">
        <f>T("80725804")</f>
        <v>80725804</v>
      </c>
      <c r="B2033" s="14" t="s">
        <v>8127</v>
      </c>
      <c r="C2033" s="3" t="s">
        <v>2035</v>
      </c>
      <c r="D2033" s="3" t="str">
        <f>T("上海書畫出版社編")</f>
        <v>上海書畫出版社編</v>
      </c>
      <c r="E2033" s="3" t="str">
        <f>T("上海書畫")</f>
        <v>上海書畫</v>
      </c>
      <c r="F2033" s="3">
        <v>60</v>
      </c>
      <c r="G2033" s="3">
        <v>360</v>
      </c>
    </row>
    <row r="2034" spans="1:7" ht="14.25">
      <c r="A2034" s="3" t="str">
        <f>T("80725805")</f>
        <v>80725805</v>
      </c>
      <c r="B2034" s="14" t="s">
        <v>8129</v>
      </c>
      <c r="C2034" s="3" t="s">
        <v>2036</v>
      </c>
      <c r="D2034" s="3" t="str">
        <f>T("上海書畫出版社編")</f>
        <v>上海書畫出版社編</v>
      </c>
      <c r="E2034" s="3" t="str">
        <f>T("上海書畫")</f>
        <v>上海書畫</v>
      </c>
      <c r="F2034" s="3">
        <v>80</v>
      </c>
      <c r="G2034" s="3">
        <v>480</v>
      </c>
    </row>
    <row r="2035" spans="1:7" ht="14.25">
      <c r="A2035" s="3" t="str">
        <f>T("80725806")</f>
        <v>80725806</v>
      </c>
      <c r="B2035" s="14" t="s">
        <v>8131</v>
      </c>
      <c r="C2035" s="3" t="s">
        <v>2037</v>
      </c>
      <c r="D2035" s="3" t="str">
        <f>T("上海書畫出版社編")</f>
        <v>上海書畫出版社編</v>
      </c>
      <c r="E2035" s="3" t="str">
        <f>T("上海書畫")</f>
        <v>上海書畫</v>
      </c>
      <c r="F2035" s="3">
        <v>80</v>
      </c>
      <c r="G2035" s="3">
        <v>480</v>
      </c>
    </row>
    <row r="2036" spans="1:7" ht="14.25">
      <c r="A2036" s="3" t="str">
        <f>T("80725811")</f>
        <v>80725811</v>
      </c>
      <c r="B2036" s="14" t="s">
        <v>8133</v>
      </c>
      <c r="C2036" s="3" t="s">
        <v>2038</v>
      </c>
      <c r="D2036" s="3" t="str">
        <f>T("上海書畫出版社編")</f>
        <v>上海書畫出版社編</v>
      </c>
      <c r="E2036" s="3" t="str">
        <f>T("上海書畫")</f>
        <v>上海書畫</v>
      </c>
      <c r="F2036" s="3">
        <v>70</v>
      </c>
      <c r="G2036" s="3">
        <v>420</v>
      </c>
    </row>
    <row r="2037" spans="1:7" ht="14.25">
      <c r="A2037" s="3" t="str">
        <f>T("80725812")</f>
        <v>80725812</v>
      </c>
      <c r="B2037" s="14" t="s">
        <v>8135</v>
      </c>
      <c r="C2037" s="3" t="s">
        <v>2039</v>
      </c>
      <c r="D2037" s="3" t="str">
        <f>T("上海書畫出版社編")</f>
        <v>上海書畫出版社編</v>
      </c>
      <c r="E2037" s="3" t="str">
        <f>T("上海書畫")</f>
        <v>上海書畫</v>
      </c>
      <c r="F2037" s="3">
        <v>80</v>
      </c>
      <c r="G2037" s="3">
        <v>480</v>
      </c>
    </row>
    <row r="2038" spans="1:7" ht="14.25">
      <c r="A2038" s="3" t="str">
        <f>T("80725814")</f>
        <v>80725814</v>
      </c>
      <c r="B2038" s="14" t="s">
        <v>8137</v>
      </c>
      <c r="C2038" s="3" t="s">
        <v>2040</v>
      </c>
      <c r="D2038" s="3" t="str">
        <f>T("上海書畫出版社編")</f>
        <v>上海書畫出版社編</v>
      </c>
      <c r="E2038" s="3" t="str">
        <f>T("上海書畫")</f>
        <v>上海書畫</v>
      </c>
      <c r="F2038" s="3">
        <v>60</v>
      </c>
      <c r="G2038" s="3">
        <v>360</v>
      </c>
    </row>
    <row r="2039" spans="1:7" ht="14.25">
      <c r="A2039" s="3" t="str">
        <f>T("80725815")</f>
        <v>80725815</v>
      </c>
      <c r="B2039" s="14" t="s">
        <v>8139</v>
      </c>
      <c r="C2039" s="3" t="s">
        <v>2041</v>
      </c>
      <c r="D2039" s="3" t="str">
        <f>T("上海書畫出版社編")</f>
        <v>上海書畫出版社編</v>
      </c>
      <c r="E2039" s="3" t="str">
        <f>T("上海書畫")</f>
        <v>上海書畫</v>
      </c>
      <c r="F2039" s="3">
        <v>80</v>
      </c>
      <c r="G2039" s="3">
        <v>480</v>
      </c>
    </row>
    <row r="2040" spans="1:7" ht="14.25">
      <c r="A2040" s="3" t="str">
        <f>T("80725816")</f>
        <v>80725816</v>
      </c>
      <c r="B2040" s="14" t="s">
        <v>8141</v>
      </c>
      <c r="C2040" s="3" t="s">
        <v>2042</v>
      </c>
      <c r="D2040" s="3" t="str">
        <f>T("上海書畫出版社編")</f>
        <v>上海書畫出版社編</v>
      </c>
      <c r="E2040" s="3" t="str">
        <f>T("上海書畫")</f>
        <v>上海書畫</v>
      </c>
      <c r="F2040" s="3">
        <v>80</v>
      </c>
      <c r="G2040" s="3">
        <v>480</v>
      </c>
    </row>
    <row r="2041" spans="1:7" ht="14.25">
      <c r="A2041" s="3" t="str">
        <f>T("80727008")</f>
        <v>80727008</v>
      </c>
      <c r="B2041" s="14" t="s">
        <v>8143</v>
      </c>
      <c r="C2041" s="3" t="s">
        <v>2043</v>
      </c>
      <c r="D2041" s="3">
        <f>T("")</f>
      </c>
      <c r="E2041" s="3" t="str">
        <f>T("新疆科技")</f>
        <v>新疆科技</v>
      </c>
      <c r="F2041" s="3">
        <v>68</v>
      </c>
      <c r="G2041" s="3">
        <v>408</v>
      </c>
    </row>
    <row r="2042" spans="1:7" ht="14.25">
      <c r="A2042" s="3" t="str">
        <f>T("80727202")</f>
        <v>80727202</v>
      </c>
      <c r="B2042" s="14" t="s">
        <v>8145</v>
      </c>
      <c r="C2042" s="3" t="s">
        <v>2044</v>
      </c>
      <c r="D2042" s="3" t="str">
        <f>T("未建檔")</f>
        <v>未建檔</v>
      </c>
      <c r="E2042" s="3" t="str">
        <f>T("新疆科技")</f>
        <v>新疆科技</v>
      </c>
      <c r="F2042" s="3">
        <v>115</v>
      </c>
      <c r="G2042" s="3">
        <v>690</v>
      </c>
    </row>
    <row r="2043" spans="1:7" ht="14.25">
      <c r="A2043" s="3" t="str">
        <f>T("80727532")</f>
        <v>80727532</v>
      </c>
      <c r="B2043" s="14" t="s">
        <v>8147</v>
      </c>
      <c r="C2043" s="3" t="s">
        <v>2045</v>
      </c>
      <c r="D2043" s="3" t="str">
        <f>T("未建檔")</f>
        <v>未建檔</v>
      </c>
      <c r="E2043" s="3" t="str">
        <f>T("新疆科技")</f>
        <v>新疆科技</v>
      </c>
      <c r="F2043" s="3">
        <v>68</v>
      </c>
      <c r="G2043" s="3">
        <v>408</v>
      </c>
    </row>
    <row r="2044" spans="1:7" ht="14.25">
      <c r="A2044" s="3" t="str">
        <f>T("80727649")</f>
        <v>80727649</v>
      </c>
      <c r="B2044" s="14" t="s">
        <v>8149</v>
      </c>
      <c r="C2044" s="3" t="s">
        <v>2046</v>
      </c>
      <c r="D2044" s="3" t="str">
        <f>T("未建檔")</f>
        <v>未建檔</v>
      </c>
      <c r="E2044" s="3" t="str">
        <f>T("新疆科技")</f>
        <v>新疆科技</v>
      </c>
      <c r="F2044" s="3">
        <v>38</v>
      </c>
      <c r="G2044" s="3">
        <v>228</v>
      </c>
    </row>
    <row r="2045" spans="1:7" ht="14.25">
      <c r="A2045" s="3" t="str">
        <f>T("80727814")</f>
        <v>80727814</v>
      </c>
      <c r="B2045" s="14" t="s">
        <v>8151</v>
      </c>
      <c r="C2045" s="3" t="s">
        <v>2047</v>
      </c>
      <c r="D2045" s="3" t="str">
        <f>T("未建檔")</f>
        <v>未建檔</v>
      </c>
      <c r="E2045" s="3" t="str">
        <f>T("新疆科技")</f>
        <v>新疆科技</v>
      </c>
      <c r="F2045" s="3">
        <v>30</v>
      </c>
      <c r="G2045" s="3">
        <v>180</v>
      </c>
    </row>
    <row r="2046" spans="1:7" ht="14.25">
      <c r="A2046" s="3" t="str">
        <f>T("80727815")</f>
        <v>80727815</v>
      </c>
      <c r="B2046" s="14" t="s">
        <v>8153</v>
      </c>
      <c r="C2046" s="3" t="s">
        <v>2048</v>
      </c>
      <c r="D2046" s="3" t="str">
        <f>T("未建檔")</f>
        <v>未建檔</v>
      </c>
      <c r="E2046" s="3" t="str">
        <f>T("新疆科技")</f>
        <v>新疆科技</v>
      </c>
      <c r="F2046" s="3">
        <v>23</v>
      </c>
      <c r="G2046" s="3">
        <v>138</v>
      </c>
    </row>
    <row r="2047" spans="1:7" ht="14.25">
      <c r="A2047" s="3" t="str">
        <f>T("80727948")</f>
        <v>80727948</v>
      </c>
      <c r="B2047" s="14" t="s">
        <v>8155</v>
      </c>
      <c r="C2047" s="3" t="s">
        <v>2049</v>
      </c>
      <c r="D2047" s="3" t="str">
        <f>T("未建檔")</f>
        <v>未建檔</v>
      </c>
      <c r="E2047" s="3" t="str">
        <f>T("新疆科技")</f>
        <v>新疆科技</v>
      </c>
      <c r="F2047" s="3">
        <v>36</v>
      </c>
      <c r="G2047" s="3">
        <v>216</v>
      </c>
    </row>
    <row r="2048" spans="1:7" ht="14.25">
      <c r="A2048" s="3" t="str">
        <f>T("80729005")</f>
        <v>80729005</v>
      </c>
      <c r="B2048" s="14" t="s">
        <v>8157</v>
      </c>
      <c r="C2048" s="3" t="s">
        <v>2050</v>
      </c>
      <c r="D2048" s="3" t="str">
        <f>T("張興吉")</f>
        <v>張興吉</v>
      </c>
      <c r="E2048" s="3" t="str">
        <f>T("鳳凰")</f>
        <v>鳳凰</v>
      </c>
      <c r="F2048" s="3">
        <v>24</v>
      </c>
      <c r="G2048" s="3">
        <v>144</v>
      </c>
    </row>
    <row r="2049" spans="1:7" ht="14.25">
      <c r="A2049" s="3" t="str">
        <f>T("80729335")</f>
        <v>80729335</v>
      </c>
      <c r="B2049" s="14" t="s">
        <v>8161</v>
      </c>
      <c r="C2049" s="3" t="s">
        <v>2051</v>
      </c>
      <c r="D2049" s="3" t="str">
        <f>T("高榮盛. 著")</f>
        <v>高榮盛. 著</v>
      </c>
      <c r="E2049" s="3" t="str">
        <f>T("鳳凰")</f>
        <v>鳳凰</v>
      </c>
      <c r="F2049" s="3">
        <v>40</v>
      </c>
      <c r="G2049" s="3">
        <v>240</v>
      </c>
    </row>
    <row r="2050" spans="1:7" ht="14.25">
      <c r="A2050" s="3" t="str">
        <f>T("80729352")</f>
        <v>80729352</v>
      </c>
      <c r="B2050" s="14" t="s">
        <v>8164</v>
      </c>
      <c r="C2050" s="3" t="s">
        <v>2052</v>
      </c>
      <c r="D2050" s="3" t="str">
        <f>T("劉尊明")</f>
        <v>劉尊明</v>
      </c>
      <c r="E2050" s="3" t="str">
        <f>T("鳳凰")</f>
        <v>鳳凰</v>
      </c>
      <c r="F2050" s="3">
        <v>32</v>
      </c>
      <c r="G2050" s="3">
        <v>192</v>
      </c>
    </row>
    <row r="2051" spans="1:7" ht="14.25">
      <c r="A2051" s="3" t="str">
        <f>T("80729354")</f>
        <v>80729354</v>
      </c>
      <c r="B2051" s="14" t="s">
        <v>8167</v>
      </c>
      <c r="C2051" s="3" t="s">
        <v>2053</v>
      </c>
      <c r="D2051" s="3" t="str">
        <f>T("王兆鵬")</f>
        <v>王兆鵬</v>
      </c>
      <c r="E2051" s="3" t="str">
        <f>T("鳳凰")</f>
        <v>鳳凰</v>
      </c>
      <c r="F2051" s="3">
        <v>23</v>
      </c>
      <c r="G2051" s="3">
        <v>138</v>
      </c>
    </row>
    <row r="2052" spans="1:7" ht="14.25">
      <c r="A2052" s="3" t="str">
        <f>T("80729355")</f>
        <v>80729355</v>
      </c>
      <c r="B2052" s="14" t="s">
        <v>8170</v>
      </c>
      <c r="C2052" s="3" t="s">
        <v>2054</v>
      </c>
      <c r="D2052" s="3" t="str">
        <f>T("蔣寅")</f>
        <v>蔣寅</v>
      </c>
      <c r="E2052" s="3" t="str">
        <f>T("鳳凰")</f>
        <v>鳳凰</v>
      </c>
      <c r="F2052" s="3">
        <v>24</v>
      </c>
      <c r="G2052" s="3">
        <v>144</v>
      </c>
    </row>
    <row r="2053" spans="1:7" ht="14.25">
      <c r="A2053" s="3" t="str">
        <f>T("80729360")</f>
        <v>80729360</v>
      </c>
      <c r="B2053" s="14" t="s">
        <v>8172</v>
      </c>
      <c r="C2053" s="3" t="s">
        <v>2055</v>
      </c>
      <c r="D2053" s="3" t="str">
        <f>T("鄭振鐸著")</f>
        <v>鄭振鐸著</v>
      </c>
      <c r="E2053" s="3" t="str">
        <f>T("鳳凰")</f>
        <v>鳳凰</v>
      </c>
      <c r="F2053" s="3">
        <v>22</v>
      </c>
      <c r="G2053" s="3">
        <v>132</v>
      </c>
    </row>
    <row r="2054" spans="1:7" ht="14.25">
      <c r="A2054" s="3" t="str">
        <f>T("80729363")</f>
        <v>80729363</v>
      </c>
      <c r="B2054" s="14" t="s">
        <v>8178</v>
      </c>
      <c r="C2054" s="3" t="s">
        <v>2056</v>
      </c>
      <c r="D2054" s="3" t="str">
        <f>T("蔣寅著")</f>
        <v>蔣寅著</v>
      </c>
      <c r="E2054" s="3" t="str">
        <f>T("鳳凰")</f>
        <v>鳳凰</v>
      </c>
      <c r="F2054" s="3">
        <v>28</v>
      </c>
      <c r="G2054" s="3">
        <v>168</v>
      </c>
    </row>
    <row r="2055" spans="1:7" ht="14.25">
      <c r="A2055" s="3" t="str">
        <f>T("80729364")</f>
        <v>80729364</v>
      </c>
      <c r="B2055" s="14" t="s">
        <v>8181</v>
      </c>
      <c r="C2055" s="3" t="s">
        <v>2057</v>
      </c>
      <c r="D2055" s="3" t="str">
        <f>T("吳梅著")</f>
        <v>吳梅著</v>
      </c>
      <c r="E2055" s="3" t="str">
        <f>T("鳳凰")</f>
        <v>鳳凰</v>
      </c>
      <c r="F2055" s="3">
        <v>23</v>
      </c>
      <c r="G2055" s="3">
        <v>138</v>
      </c>
    </row>
    <row r="2056" spans="1:7" ht="14.25">
      <c r="A2056" s="3" t="str">
        <f>T("80729365")</f>
        <v>80729365</v>
      </c>
      <c r="B2056" s="14" t="s">
        <v>8184</v>
      </c>
      <c r="C2056" s="3" t="s">
        <v>2058</v>
      </c>
      <c r="D2056" s="3" t="str">
        <f>T("孟森著")</f>
        <v>孟森著</v>
      </c>
      <c r="E2056" s="3" t="str">
        <f>T("鳳凰")</f>
        <v>鳳凰</v>
      </c>
      <c r="F2056" s="3">
        <v>28</v>
      </c>
      <c r="G2056" s="3">
        <v>168</v>
      </c>
    </row>
    <row r="2057" spans="1:7" ht="14.25">
      <c r="A2057" s="3" t="str">
        <f>T("80729390")</f>
        <v>80729390</v>
      </c>
      <c r="B2057" s="14" t="s">
        <v>8187</v>
      </c>
      <c r="C2057" s="3" t="s">
        <v>2059</v>
      </c>
      <c r="D2057" s="3" t="str">
        <f>T("羅語")</f>
        <v>羅語</v>
      </c>
      <c r="E2057" s="3" t="str">
        <f>T("鳳凰")</f>
        <v>鳳凰</v>
      </c>
      <c r="F2057" s="3">
        <v>22</v>
      </c>
      <c r="G2057" s="3">
        <v>132</v>
      </c>
    </row>
    <row r="2058" spans="1:7" ht="14.25">
      <c r="A2058" s="3" t="str">
        <f>T("80729393")</f>
        <v>80729393</v>
      </c>
      <c r="B2058" s="14" t="s">
        <v>8190</v>
      </c>
      <c r="C2058" s="3" t="s">
        <v>2060</v>
      </c>
      <c r="D2058" s="3" t="str">
        <f>T("廖康強")</f>
        <v>廖康強</v>
      </c>
      <c r="E2058" s="3" t="str">
        <f>T("鳳凰")</f>
        <v>鳳凰</v>
      </c>
      <c r="F2058" s="3">
        <v>22</v>
      </c>
      <c r="G2058" s="3">
        <v>132</v>
      </c>
    </row>
    <row r="2059" spans="1:7" ht="14.25">
      <c r="A2059" s="3" t="str">
        <f>T("80729394")</f>
        <v>80729394</v>
      </c>
      <c r="B2059" s="14" t="s">
        <v>8193</v>
      </c>
      <c r="C2059" s="3" t="s">
        <v>2061</v>
      </c>
      <c r="D2059" s="3" t="str">
        <f>T("陳果夫")</f>
        <v>陳果夫</v>
      </c>
      <c r="E2059" s="3" t="str">
        <f>T("鳳凰")</f>
        <v>鳳凰</v>
      </c>
      <c r="F2059" s="3">
        <v>22</v>
      </c>
      <c r="G2059" s="3">
        <v>132</v>
      </c>
    </row>
    <row r="2060" spans="1:7" ht="14.25">
      <c r="A2060" s="3" t="str">
        <f>T("80729401")</f>
        <v>80729401</v>
      </c>
      <c r="B2060" s="14" t="s">
        <v>8196</v>
      </c>
      <c r="C2060" s="3" t="s">
        <v>2062</v>
      </c>
      <c r="D2060" s="3" t="str">
        <f>T("周嘯天編著")</f>
        <v>周嘯天編著</v>
      </c>
      <c r="E2060" s="3" t="str">
        <f>T("鳳凰")</f>
        <v>鳳凰</v>
      </c>
      <c r="F2060" s="3">
        <v>22</v>
      </c>
      <c r="G2060" s="3">
        <v>132</v>
      </c>
    </row>
    <row r="2061" spans="1:7" ht="14.25">
      <c r="A2061" s="3" t="str">
        <f>T("80729473")</f>
        <v>80729473</v>
      </c>
      <c r="B2061" s="14" t="s">
        <v>8199</v>
      </c>
      <c r="C2061" s="3" t="s">
        <v>2063</v>
      </c>
      <c r="D2061" s="3" t="str">
        <f>T("困困")</f>
        <v>困困</v>
      </c>
      <c r="E2061" s="3" t="str">
        <f>T("鳳凰")</f>
        <v>鳳凰</v>
      </c>
      <c r="F2061" s="3">
        <v>29</v>
      </c>
      <c r="G2061" s="3">
        <v>174</v>
      </c>
    </row>
    <row r="2062" spans="1:7" ht="14.25">
      <c r="A2062" s="3" t="str">
        <f>T("80729626")</f>
        <v>80729626</v>
      </c>
      <c r="B2062" s="14" t="s">
        <v>8202</v>
      </c>
      <c r="C2062" s="3" t="s">
        <v>2064</v>
      </c>
      <c r="D2062" s="3" t="str">
        <f>T("紀玲妹")</f>
        <v>紀玲妹</v>
      </c>
      <c r="E2062" s="3" t="str">
        <f>T("鳳凰")</f>
        <v>鳳凰</v>
      </c>
      <c r="F2062" s="3">
        <v>28</v>
      </c>
      <c r="G2062" s="3">
        <v>168</v>
      </c>
    </row>
    <row r="2063" spans="1:7" ht="14.25">
      <c r="A2063" s="3" t="str">
        <f>T("80729825")</f>
        <v>80729825</v>
      </c>
      <c r="B2063" s="14" t="s">
        <v>8205</v>
      </c>
      <c r="C2063" s="3" t="s">
        <v>2065</v>
      </c>
      <c r="D2063" s="3" t="str">
        <f>T("塵洛若影")</f>
        <v>塵洛若影</v>
      </c>
      <c r="E2063" s="3" t="str">
        <f>T("鳳凰")</f>
        <v>鳳凰</v>
      </c>
      <c r="F2063" s="3">
        <v>26.8</v>
      </c>
      <c r="G2063" s="3">
        <v>161</v>
      </c>
    </row>
    <row r="2064" spans="1:7" ht="14.25">
      <c r="A2064" s="3" t="str">
        <f>T("80729826")</f>
        <v>80729826</v>
      </c>
      <c r="B2064" s="14" t="s">
        <v>8208</v>
      </c>
      <c r="C2064" s="3" t="s">
        <v>2066</v>
      </c>
      <c r="D2064" s="3" t="str">
        <f>T("塵洛若影")</f>
        <v>塵洛若影</v>
      </c>
      <c r="E2064" s="3" t="str">
        <f>T("鳳凰")</f>
        <v>鳳凰</v>
      </c>
      <c r="F2064" s="3">
        <v>26.8</v>
      </c>
      <c r="G2064" s="3">
        <v>161</v>
      </c>
    </row>
    <row r="2065" spans="1:7" ht="14.25">
      <c r="A2065" s="3" t="str">
        <f>T("80730189")</f>
        <v>80730189</v>
      </c>
      <c r="B2065" s="14" t="s">
        <v>8210</v>
      </c>
      <c r="C2065" s="3" t="s">
        <v>2067</v>
      </c>
      <c r="D2065" s="3" t="str">
        <f>T("趙恒瑾")</f>
        <v>趙恒瑾</v>
      </c>
      <c r="E2065" s="3" t="str">
        <f>T("學林")</f>
        <v>學林</v>
      </c>
      <c r="F2065" s="3">
        <v>18</v>
      </c>
      <c r="G2065" s="3">
        <v>108</v>
      </c>
    </row>
    <row r="2066" spans="1:7" ht="14.25">
      <c r="A2066" s="3" t="str">
        <f>T("80730843")</f>
        <v>80730843</v>
      </c>
      <c r="B2066" s="14" t="s">
        <v>8214</v>
      </c>
      <c r="C2066" s="3" t="s">
        <v>2068</v>
      </c>
      <c r="D2066" s="3" t="str">
        <f>T("王    馗")</f>
        <v>王    馗</v>
      </c>
      <c r="E2066" s="3" t="str">
        <f>T("學林")</f>
        <v>學林</v>
      </c>
      <c r="F2066" s="3">
        <v>35</v>
      </c>
      <c r="G2066" s="3">
        <v>210</v>
      </c>
    </row>
    <row r="2067" spans="1:7" ht="14.25">
      <c r="A2067" s="3" t="str">
        <f>T("80732147")</f>
        <v>80732147</v>
      </c>
      <c r="B2067" s="14" t="s">
        <v>8217</v>
      </c>
      <c r="C2067" s="3" t="s">
        <v>2069</v>
      </c>
      <c r="D2067" s="3" t="str">
        <f>T("冰波")</f>
        <v>冰波</v>
      </c>
      <c r="E2067" s="3" t="str">
        <f>T("接力")</f>
        <v>接力</v>
      </c>
      <c r="F2067" s="3">
        <v>15</v>
      </c>
      <c r="G2067" s="3">
        <v>90</v>
      </c>
    </row>
    <row r="2068" spans="1:7" ht="14.25">
      <c r="A2068" s="3" t="str">
        <f>T("80732199")</f>
        <v>80732199</v>
      </c>
      <c r="B2068" s="14" t="s">
        <v>8220</v>
      </c>
      <c r="C2068" s="3" t="s">
        <v>2070</v>
      </c>
      <c r="D2068" s="3" t="str">
        <f>T("鄭春華")</f>
        <v>鄭春華</v>
      </c>
      <c r="E2068" s="3" t="str">
        <f>T("接力")</f>
        <v>接力</v>
      </c>
      <c r="F2068" s="3">
        <v>12.8</v>
      </c>
      <c r="G2068" s="3">
        <v>77</v>
      </c>
    </row>
    <row r="2069" spans="1:7" ht="14.25">
      <c r="A2069" s="3" t="str">
        <f>T("80732200")</f>
        <v>80732200</v>
      </c>
      <c r="B2069" s="14" t="s">
        <v>8222</v>
      </c>
      <c r="C2069" s="3" t="s">
        <v>2071</v>
      </c>
      <c r="D2069" s="3" t="str">
        <f>T("鄭春華")</f>
        <v>鄭春華</v>
      </c>
      <c r="E2069" s="3" t="str">
        <f>T("接力")</f>
        <v>接力</v>
      </c>
      <c r="F2069" s="3">
        <v>12.8</v>
      </c>
      <c r="G2069" s="3">
        <v>77</v>
      </c>
    </row>
    <row r="2070" spans="1:7" ht="14.25">
      <c r="A2070" s="3" t="str">
        <f>T("80732201")</f>
        <v>80732201</v>
      </c>
      <c r="B2070" s="14" t="s">
        <v>8224</v>
      </c>
      <c r="C2070" s="3" t="s">
        <v>2072</v>
      </c>
      <c r="D2070" s="3" t="str">
        <f>T("鄭春華")</f>
        <v>鄭春華</v>
      </c>
      <c r="E2070" s="3" t="str">
        <f>T("接力")</f>
        <v>接力</v>
      </c>
      <c r="F2070" s="3">
        <v>12.8</v>
      </c>
      <c r="G2070" s="3">
        <v>77</v>
      </c>
    </row>
    <row r="2071" spans="1:7" ht="14.25">
      <c r="A2071" s="3" t="str">
        <f>T("80732202")</f>
        <v>80732202</v>
      </c>
      <c r="B2071" s="14" t="s">
        <v>8226</v>
      </c>
      <c r="C2071" s="3" t="s">
        <v>2073</v>
      </c>
      <c r="D2071" s="3" t="str">
        <f>T("鄭春華")</f>
        <v>鄭春華</v>
      </c>
      <c r="E2071" s="3" t="str">
        <f>T("接力")</f>
        <v>接力</v>
      </c>
      <c r="F2071" s="3">
        <v>12.8</v>
      </c>
      <c r="G2071" s="3">
        <v>77</v>
      </c>
    </row>
    <row r="2072" spans="1:7" ht="14.25">
      <c r="A2072" s="3" t="str">
        <f>T("80733449")</f>
        <v>80733449</v>
      </c>
      <c r="B2072" s="14" t="s">
        <v>8228</v>
      </c>
      <c r="C2072" s="3" t="s">
        <v>2074</v>
      </c>
      <c r="D2072" s="3" t="str">
        <f>T("馬盛德")</f>
        <v>馬盛德</v>
      </c>
      <c r="E2072" s="3" t="str">
        <f>T("古吳軒")</f>
        <v>古吳軒</v>
      </c>
      <c r="F2072" s="3">
        <v>29.8</v>
      </c>
      <c r="G2072" s="3">
        <v>179</v>
      </c>
    </row>
    <row r="2073" spans="1:7" ht="14.25">
      <c r="A2073" s="3" t="str">
        <f>T("80735303")</f>
        <v>80735303</v>
      </c>
      <c r="B2073" s="14" t="s">
        <v>8232</v>
      </c>
      <c r="C2073" s="3" t="s">
        <v>2075</v>
      </c>
      <c r="D2073" s="3" t="str">
        <f>T("陳振濂")</f>
        <v>陳振濂</v>
      </c>
      <c r="E2073" s="3" t="str">
        <f>T("西泠印社")</f>
        <v>西泠印社</v>
      </c>
      <c r="F2073" s="3">
        <v>85</v>
      </c>
      <c r="G2073" s="3">
        <v>510</v>
      </c>
    </row>
    <row r="2074" spans="1:7" ht="14.25">
      <c r="A2074" s="3" t="str">
        <f>T("80735359")</f>
        <v>80735359</v>
      </c>
      <c r="B2074" s="14" t="s">
        <v>2236</v>
      </c>
      <c r="C2074" s="3" t="s">
        <v>2076</v>
      </c>
      <c r="D2074" s="3">
        <f>T("")</f>
      </c>
      <c r="E2074" s="3" t="str">
        <f>T("西泠印社")</f>
        <v>西泠印社</v>
      </c>
      <c r="F2074" s="3">
        <v>105</v>
      </c>
      <c r="G2074" s="3">
        <v>630</v>
      </c>
    </row>
    <row r="2075" spans="1:7" ht="14.25">
      <c r="A2075" s="3" t="str">
        <f>T("80736118")</f>
        <v>80736118</v>
      </c>
      <c r="B2075" s="14" t="s">
        <v>8235</v>
      </c>
      <c r="C2075" s="3" t="s">
        <v>2077</v>
      </c>
      <c r="D2075" s="3" t="str">
        <f>T("韓理洲")</f>
        <v>韓理洲</v>
      </c>
      <c r="E2075" s="3" t="str">
        <f>T("三秦")</f>
        <v>三秦</v>
      </c>
      <c r="F2075" s="3">
        <v>98</v>
      </c>
      <c r="G2075" s="3">
        <v>588</v>
      </c>
    </row>
    <row r="2076" spans="1:7" ht="14.25">
      <c r="A2076" s="3" t="str">
        <f>T("80736145")</f>
        <v>80736145</v>
      </c>
      <c r="B2076" s="14" t="s">
        <v>8238</v>
      </c>
      <c r="C2076" s="3" t="s">
        <v>2078</v>
      </c>
      <c r="D2076" s="3" t="str">
        <f>T("薛瑞生")</f>
        <v>薛瑞生</v>
      </c>
      <c r="E2076" s="3" t="str">
        <f>T("三秦")</f>
        <v>三秦</v>
      </c>
      <c r="F2076" s="3">
        <v>50</v>
      </c>
      <c r="G2076" s="3">
        <v>300</v>
      </c>
    </row>
    <row r="2077" spans="1:7" ht="14.25">
      <c r="A2077" s="3" t="str">
        <f>T("80736299")</f>
        <v>80736299</v>
      </c>
      <c r="B2077" s="14" t="s">
        <v>8245</v>
      </c>
      <c r="C2077" s="3" t="s">
        <v>2079</v>
      </c>
      <c r="D2077" s="3" t="str">
        <f>T("杜文玉")</f>
        <v>杜文玉</v>
      </c>
      <c r="E2077" s="3" t="str">
        <f>T("三秦")</f>
        <v>三秦</v>
      </c>
      <c r="F2077" s="3">
        <v>50</v>
      </c>
      <c r="G2077" s="3">
        <v>300</v>
      </c>
    </row>
    <row r="2078" spans="1:7" ht="14.25">
      <c r="A2078" s="3" t="str">
        <f>T("80737660")</f>
        <v>80737660</v>
      </c>
      <c r="B2078" s="14" t="s">
        <v>8248</v>
      </c>
      <c r="C2078" s="3" t="s">
        <v>2080</v>
      </c>
      <c r="D2078" s="3" t="str">
        <f>T("孔?")</f>
        <v>孔?</v>
      </c>
      <c r="E2078" s="3" t="str">
        <f>T("山東友誼")</f>
        <v>山東友誼</v>
      </c>
      <c r="F2078" s="3">
        <v>32</v>
      </c>
      <c r="G2078" s="3">
        <v>192</v>
      </c>
    </row>
    <row r="2079" spans="1:7" ht="14.25">
      <c r="A2079" s="3" t="str">
        <f>T("80739323")</f>
        <v>80739323</v>
      </c>
      <c r="B2079" s="14" t="s">
        <v>8251</v>
      </c>
      <c r="C2079" s="3" t="s">
        <v>2081</v>
      </c>
      <c r="D2079" s="3" t="str">
        <f>T("樂其麟編著")</f>
        <v>樂其麟編著</v>
      </c>
      <c r="E2079" s="3" t="str">
        <f>T("中原農民")</f>
        <v>中原農民</v>
      </c>
      <c r="F2079" s="3">
        <v>28</v>
      </c>
      <c r="G2079" s="3">
        <v>168</v>
      </c>
    </row>
    <row r="2080" spans="1:7" ht="14.25">
      <c r="A2080" s="3" t="str">
        <f>T("80740122")</f>
        <v>80740122</v>
      </c>
      <c r="B2080" s="14" t="s">
        <v>8255</v>
      </c>
      <c r="C2080" s="3" t="s">
        <v>2082</v>
      </c>
      <c r="D2080" s="3" t="str">
        <f>T("尹繼佐")</f>
        <v>尹繼佐</v>
      </c>
      <c r="E2080" s="3" t="str">
        <f>T("山東畫報")</f>
        <v>山東畫報</v>
      </c>
      <c r="F2080" s="3">
        <v>48</v>
      </c>
      <c r="G2080" s="3">
        <v>288</v>
      </c>
    </row>
    <row r="2081" spans="1:7" ht="14.25">
      <c r="A2081" s="3" t="str">
        <f>T("80740199")</f>
        <v>80740199</v>
      </c>
      <c r="B2081" s="14" t="s">
        <v>8257</v>
      </c>
      <c r="C2081" s="3" t="s">
        <v>2083</v>
      </c>
      <c r="D2081" s="3" t="str">
        <f>T("張晶著")</f>
        <v>張晶著</v>
      </c>
      <c r="E2081" s="3" t="str">
        <f>T("上海文化")</f>
        <v>上海文化</v>
      </c>
      <c r="F2081" s="3">
        <v>40</v>
      </c>
      <c r="G2081" s="3">
        <v>240</v>
      </c>
    </row>
    <row r="2082" spans="1:7" ht="14.25">
      <c r="A2082" s="3" t="str">
        <f>T("80740267")</f>
        <v>80740267</v>
      </c>
      <c r="B2082" s="14" t="s">
        <v>8261</v>
      </c>
      <c r="C2082" s="3" t="s">
        <v>2084</v>
      </c>
      <c r="D2082" s="3" t="str">
        <f>T("康晶")</f>
        <v>康晶</v>
      </c>
      <c r="E2082" s="3" t="str">
        <f>T("上海文化")</f>
        <v>上海文化</v>
      </c>
      <c r="F2082" s="3">
        <v>25</v>
      </c>
      <c r="G2082" s="3">
        <v>150</v>
      </c>
    </row>
    <row r="2083" spans="1:7" ht="14.25">
      <c r="A2083" s="3" t="str">
        <f>T("80740409")</f>
        <v>80740409</v>
      </c>
      <c r="B2083" s="14" t="s">
        <v>8264</v>
      </c>
      <c r="C2083" s="3" t="s">
        <v>2085</v>
      </c>
      <c r="D2083" s="3" t="str">
        <f>T("陳勤建")</f>
        <v>陳勤建</v>
      </c>
      <c r="E2083" s="3" t="str">
        <f>T("上海文化")</f>
        <v>上海文化</v>
      </c>
      <c r="F2083" s="3">
        <v>36</v>
      </c>
      <c r="G2083" s="3">
        <v>216</v>
      </c>
    </row>
    <row r="2084" spans="1:7" ht="14.25">
      <c r="A2084" s="3" t="str">
        <f>T("80740572")</f>
        <v>80740572</v>
      </c>
      <c r="B2084" s="14" t="s">
        <v>8267</v>
      </c>
      <c r="C2084" s="3" t="s">
        <v>2086</v>
      </c>
      <c r="D2084" s="3" t="str">
        <f>T("沈怡萱. 編")</f>
        <v>沈怡萱. 編</v>
      </c>
      <c r="E2084" s="3" t="str">
        <f>T("上海文化")</f>
        <v>上海文化</v>
      </c>
      <c r="F2084" s="3">
        <v>78</v>
      </c>
      <c r="G2084" s="3">
        <v>468</v>
      </c>
    </row>
    <row r="2085" spans="1:7" ht="14.25">
      <c r="A2085" s="3" t="str">
        <f>T("80741595")</f>
        <v>80741595</v>
      </c>
      <c r="B2085" s="14" t="s">
        <v>8270</v>
      </c>
      <c r="C2085" s="3" t="s">
        <v>2087</v>
      </c>
      <c r="D2085" s="3" t="str">
        <f>T("蔣勳")</f>
        <v>蔣勳</v>
      </c>
      <c r="E2085" s="3" t="str">
        <f>T("廣西師範大")</f>
        <v>廣西師範大</v>
      </c>
      <c r="F2085" s="3">
        <v>49</v>
      </c>
      <c r="G2085" s="3">
        <v>294</v>
      </c>
    </row>
    <row r="2086" spans="1:7" ht="14.25">
      <c r="A2086" s="3" t="str">
        <f>T("80741937")</f>
        <v>80741937</v>
      </c>
      <c r="B2086" s="14" t="s">
        <v>8273</v>
      </c>
      <c r="C2086" s="3" t="s">
        <v>2088</v>
      </c>
      <c r="D2086" s="3" t="str">
        <f>T("潘知常")</f>
        <v>潘知常</v>
      </c>
      <c r="E2086" s="3" t="str">
        <f>T("文彙")</f>
        <v>文彙</v>
      </c>
      <c r="F2086" s="3">
        <v>38</v>
      </c>
      <c r="G2086" s="3">
        <v>228</v>
      </c>
    </row>
    <row r="2087" spans="1:7" ht="14.25">
      <c r="A2087" s="3" t="str">
        <f>T("80741947")</f>
        <v>80741947</v>
      </c>
      <c r="B2087" s="14" t="s">
        <v>8276</v>
      </c>
      <c r="C2087" s="3" t="s">
        <v>2089</v>
      </c>
      <c r="D2087" s="3" t="str">
        <f>T("慕容湮兒")</f>
        <v>慕容湮兒</v>
      </c>
      <c r="E2087" s="3" t="str">
        <f>T("文彙")</f>
        <v>文彙</v>
      </c>
      <c r="F2087" s="3">
        <v>26.8</v>
      </c>
      <c r="G2087" s="3">
        <v>161</v>
      </c>
    </row>
    <row r="2088" spans="1:7" ht="14.25">
      <c r="A2088" s="3" t="str">
        <f>T("80742039")</f>
        <v>80742039</v>
      </c>
      <c r="B2088" s="14" t="s">
        <v>8279</v>
      </c>
      <c r="C2088" s="3" t="s">
        <v>2090</v>
      </c>
      <c r="D2088" s="3" t="str">
        <f>T("田本相")</f>
        <v>田本相</v>
      </c>
      <c r="E2088" s="3" t="str">
        <f>T("百花洲文藝")</f>
        <v>百花洲文藝</v>
      </c>
      <c r="F2088" s="3">
        <v>79.8</v>
      </c>
      <c r="G2088" s="3">
        <v>479</v>
      </c>
    </row>
    <row r="2089" spans="1:7" ht="14.25">
      <c r="A2089" s="3" t="str">
        <f>T("80742167")</f>
        <v>80742167</v>
      </c>
      <c r="B2089" s="14" t="s">
        <v>8282</v>
      </c>
      <c r="C2089" s="3" t="s">
        <v>2091</v>
      </c>
      <c r="D2089" s="3" t="str">
        <f>T("鄧福星")</f>
        <v>鄧福星</v>
      </c>
      <c r="E2089" s="3" t="str">
        <f>T("百花洲文藝")</f>
        <v>百花洲文藝</v>
      </c>
      <c r="F2089" s="3">
        <v>60.8</v>
      </c>
      <c r="G2089" s="3">
        <v>365</v>
      </c>
    </row>
    <row r="2090" spans="1:7" ht="14.25">
      <c r="A2090" s="3" t="str">
        <f>T("80742179")</f>
        <v>80742179</v>
      </c>
      <c r="B2090" s="14" t="s">
        <v>8285</v>
      </c>
      <c r="C2090" s="3" t="s">
        <v>2092</v>
      </c>
      <c r="D2090" s="3" t="str">
        <f>T("舒大豐")</f>
        <v>舒大豐</v>
      </c>
      <c r="E2090" s="3" t="str">
        <f>T("百花洲文藝")</f>
        <v>百花洲文藝</v>
      </c>
      <c r="F2090" s="3">
        <v>29.8</v>
      </c>
      <c r="G2090" s="3">
        <v>179</v>
      </c>
    </row>
    <row r="2091" spans="1:7" ht="14.25">
      <c r="A2091" s="3" t="str">
        <f>T("80742297")</f>
        <v>80742297</v>
      </c>
      <c r="B2091" s="14" t="s">
        <v>8288</v>
      </c>
      <c r="C2091" s="3" t="s">
        <v>2093</v>
      </c>
      <c r="D2091" s="3" t="str">
        <f>T("王亞菲著")</f>
        <v>王亞菲著</v>
      </c>
      <c r="E2091" s="3" t="str">
        <f>T("百花洲文藝")</f>
        <v>百花洲文藝</v>
      </c>
      <c r="F2091" s="3">
        <v>30</v>
      </c>
      <c r="G2091" s="3">
        <v>180</v>
      </c>
    </row>
    <row r="2092" spans="1:7" ht="14.25">
      <c r="A2092" s="3" t="str">
        <f>T("80742462")</f>
        <v>80742462</v>
      </c>
      <c r="B2092" s="14" t="s">
        <v>8291</v>
      </c>
      <c r="C2092" s="3" t="s">
        <v>2094</v>
      </c>
      <c r="D2092" s="3" t="str">
        <f>T("劉華")</f>
        <v>劉華</v>
      </c>
      <c r="E2092" s="3" t="str">
        <f>T("百花洲文藝")</f>
        <v>百花洲文藝</v>
      </c>
      <c r="F2092" s="3">
        <v>32</v>
      </c>
      <c r="G2092" s="3">
        <v>192</v>
      </c>
    </row>
    <row r="2093" spans="1:7" ht="14.25">
      <c r="A2093" s="3" t="str">
        <f>T("80742539")</f>
        <v>80742539</v>
      </c>
      <c r="B2093" s="14" t="s">
        <v>8294</v>
      </c>
      <c r="C2093" s="3" t="s">
        <v>2095</v>
      </c>
      <c r="D2093" s="3" t="str">
        <f>T("吳越")</f>
        <v>吳越</v>
      </c>
      <c r="E2093" s="3" t="str">
        <f>T("百花洲文藝")</f>
        <v>百花洲文藝</v>
      </c>
      <c r="F2093" s="3">
        <v>56</v>
      </c>
      <c r="G2093" s="3">
        <v>336</v>
      </c>
    </row>
    <row r="2094" spans="1:7" ht="14.25">
      <c r="A2094" s="3" t="str">
        <f>T("80742582")</f>
        <v>80742582</v>
      </c>
      <c r="B2094" s="14" t="s">
        <v>8297</v>
      </c>
      <c r="C2094" s="3" t="s">
        <v>2096</v>
      </c>
      <c r="D2094" s="3" t="str">
        <f>T("李國文")</f>
        <v>李國文</v>
      </c>
      <c r="E2094" s="3" t="str">
        <f>T("百花洲文藝")</f>
        <v>百花洲文藝</v>
      </c>
      <c r="F2094" s="3">
        <v>29.8</v>
      </c>
      <c r="G2094" s="3">
        <v>179</v>
      </c>
    </row>
    <row r="2095" spans="1:7" ht="14.25">
      <c r="A2095" s="3" t="str">
        <f>T("80742583")</f>
        <v>80742583</v>
      </c>
      <c r="B2095" s="14" t="s">
        <v>8299</v>
      </c>
      <c r="C2095" s="3" t="s">
        <v>2097</v>
      </c>
      <c r="D2095" s="3" t="str">
        <f>T("虹影")</f>
        <v>虹影</v>
      </c>
      <c r="E2095" s="3" t="str">
        <f>T("百花洲文藝")</f>
        <v>百花洲文藝</v>
      </c>
      <c r="F2095" s="3">
        <v>29.8</v>
      </c>
      <c r="G2095" s="3">
        <v>179</v>
      </c>
    </row>
    <row r="2096" spans="1:7" ht="14.25">
      <c r="A2096" s="3" t="str">
        <f>T("80742584")</f>
        <v>80742584</v>
      </c>
      <c r="B2096" s="14" t="s">
        <v>8302</v>
      </c>
      <c r="C2096" s="3" t="s">
        <v>2098</v>
      </c>
      <c r="D2096" s="3" t="str">
        <f>T("巴金")</f>
        <v>巴金</v>
      </c>
      <c r="E2096" s="3" t="str">
        <f>T("百花洲文藝")</f>
        <v>百花洲文藝</v>
      </c>
      <c r="F2096" s="3">
        <v>29.8</v>
      </c>
      <c r="G2096" s="3">
        <v>179</v>
      </c>
    </row>
    <row r="2097" spans="1:7" ht="14.25">
      <c r="A2097" s="3" t="str">
        <f>T("80742585")</f>
        <v>80742585</v>
      </c>
      <c r="B2097" s="14" t="s">
        <v>8305</v>
      </c>
      <c r="C2097" s="3" t="s">
        <v>2099</v>
      </c>
      <c r="D2097" s="3" t="str">
        <f>T("胡平")</f>
        <v>胡平</v>
      </c>
      <c r="E2097" s="3" t="str">
        <f>T("百花洲文藝")</f>
        <v>百花洲文藝</v>
      </c>
      <c r="F2097" s="3">
        <v>29.8</v>
      </c>
      <c r="G2097" s="3">
        <v>179</v>
      </c>
    </row>
    <row r="2098" spans="1:7" ht="14.25">
      <c r="A2098" s="3" t="str">
        <f>T("80742613")</f>
        <v>80742613</v>
      </c>
      <c r="B2098" s="14" t="s">
        <v>8307</v>
      </c>
      <c r="C2098" s="3" t="s">
        <v>2100</v>
      </c>
      <c r="D2098" s="3" t="str">
        <f>T("胡曉峰")</f>
        <v>胡曉峰</v>
      </c>
      <c r="E2098" s="3" t="str">
        <f>T("百花洲文藝")</f>
        <v>百花洲文藝</v>
      </c>
      <c r="F2098" s="3">
        <v>56</v>
      </c>
      <c r="G2098" s="3">
        <v>336</v>
      </c>
    </row>
    <row r="2099" spans="1:7" ht="14.25">
      <c r="A2099" s="3" t="str">
        <f>T("80742637")</f>
        <v>80742637</v>
      </c>
      <c r="B2099" s="14" t="s">
        <v>8310</v>
      </c>
      <c r="C2099" s="3" t="s">
        <v>2101</v>
      </c>
      <c r="D2099" s="3" t="str">
        <f>T("劉華")</f>
        <v>劉華</v>
      </c>
      <c r="E2099" s="3" t="str">
        <f>T("百花洲文藝")</f>
        <v>百花洲文藝</v>
      </c>
      <c r="F2099" s="3">
        <v>36</v>
      </c>
      <c r="G2099" s="3">
        <v>216</v>
      </c>
    </row>
    <row r="2100" spans="1:7" ht="14.25">
      <c r="A2100" s="3" t="str">
        <f>T("80742781")</f>
        <v>80742781</v>
      </c>
      <c r="B2100" s="14" t="s">
        <v>8312</v>
      </c>
      <c r="C2100" s="3" t="s">
        <v>2102</v>
      </c>
      <c r="D2100" s="3" t="str">
        <f>T("許暉著")</f>
        <v>許暉著</v>
      </c>
      <c r="E2100" s="3" t="str">
        <f>T("百花洲文藝")</f>
        <v>百花洲文藝</v>
      </c>
      <c r="F2100" s="3">
        <v>28</v>
      </c>
      <c r="G2100" s="3">
        <v>168</v>
      </c>
    </row>
    <row r="2101" spans="1:7" ht="14.25">
      <c r="A2101" s="3" t="str">
        <f>T("80742810")</f>
        <v>80742810</v>
      </c>
      <c r="B2101" s="14" t="s">
        <v>8315</v>
      </c>
      <c r="C2101" s="3" t="s">
        <v>2103</v>
      </c>
      <c r="D2101" s="3" t="str">
        <f>T("郝岩")</f>
        <v>郝岩</v>
      </c>
      <c r="E2101" s="3" t="str">
        <f>T("百花洲文藝")</f>
        <v>百花洲文藝</v>
      </c>
      <c r="F2101" s="3">
        <v>30</v>
      </c>
      <c r="G2101" s="3">
        <v>180</v>
      </c>
    </row>
    <row r="2102" spans="1:7" ht="14.25">
      <c r="A2102" s="3" t="str">
        <f>T("80742811")</f>
        <v>80742811</v>
      </c>
      <c r="B2102" s="14" t="s">
        <v>8318</v>
      </c>
      <c r="C2102" s="3" t="s">
        <v>2104</v>
      </c>
      <c r="D2102" s="3" t="str">
        <f>T("郝岩")</f>
        <v>郝岩</v>
      </c>
      <c r="E2102" s="3" t="str">
        <f>T("百花洲文藝")</f>
        <v>百花洲文藝</v>
      </c>
      <c r="F2102" s="3">
        <v>30</v>
      </c>
      <c r="G2102" s="3">
        <v>180</v>
      </c>
    </row>
    <row r="2103" spans="1:7" ht="14.25">
      <c r="A2103" s="3" t="str">
        <f>T("80742818")</f>
        <v>80742818</v>
      </c>
      <c r="B2103" s="14" t="s">
        <v>8320</v>
      </c>
      <c r="C2103" s="3" t="s">
        <v>2105</v>
      </c>
      <c r="D2103" s="3" t="str">
        <f>T("顏溶")</f>
        <v>顏溶</v>
      </c>
      <c r="E2103" s="3" t="str">
        <f>T("百花洲文藝")</f>
        <v>百花洲文藝</v>
      </c>
      <c r="F2103" s="3">
        <v>28.5</v>
      </c>
      <c r="G2103" s="3">
        <v>171</v>
      </c>
    </row>
    <row r="2104" spans="1:7" ht="14.25">
      <c r="A2104" s="3" t="str">
        <f>T("80742820")</f>
        <v>80742820</v>
      </c>
      <c r="B2104" s="14" t="s">
        <v>8323</v>
      </c>
      <c r="C2104" s="3" t="s">
        <v>2106</v>
      </c>
      <c r="D2104" s="3" t="str">
        <f>T("傅菲")</f>
        <v>傅菲</v>
      </c>
      <c r="E2104" s="3" t="str">
        <f>T("百花洲文藝")</f>
        <v>百花洲文藝</v>
      </c>
      <c r="F2104" s="3">
        <v>23.6</v>
      </c>
      <c r="G2104" s="3">
        <v>142</v>
      </c>
    </row>
    <row r="2105" spans="1:7" ht="14.25">
      <c r="A2105" s="3" t="str">
        <f>T("80742829")</f>
        <v>80742829</v>
      </c>
      <c r="B2105" s="14" t="s">
        <v>8326</v>
      </c>
      <c r="C2105" s="3" t="s">
        <v>2107</v>
      </c>
      <c r="D2105" s="3" t="str">
        <f>T("謝宇")</f>
        <v>謝宇</v>
      </c>
      <c r="E2105" s="3" t="str">
        <f>T("百花洲文藝")</f>
        <v>百花洲文藝</v>
      </c>
      <c r="F2105" s="3">
        <v>19.8</v>
      </c>
      <c r="G2105" s="3">
        <v>119</v>
      </c>
    </row>
    <row r="2106" spans="1:7" ht="14.25">
      <c r="A2106" s="3" t="str">
        <f>T("80742836")</f>
        <v>80742836</v>
      </c>
      <c r="B2106" s="14" t="s">
        <v>8329</v>
      </c>
      <c r="C2106" s="3" t="s">
        <v>2108</v>
      </c>
      <c r="D2106" s="3" t="str">
        <f>T("謝宇")</f>
        <v>謝宇</v>
      </c>
      <c r="E2106" s="3" t="str">
        <f>T("百花洲文藝")</f>
        <v>百花洲文藝</v>
      </c>
      <c r="F2106" s="3">
        <v>19.8</v>
      </c>
      <c r="G2106" s="3">
        <v>119</v>
      </c>
    </row>
    <row r="2107" spans="1:7" ht="14.25">
      <c r="A2107" s="3" t="str">
        <f>T("80742840")</f>
        <v>80742840</v>
      </c>
      <c r="B2107" s="14" t="s">
        <v>8331</v>
      </c>
      <c r="C2107" s="3" t="s">
        <v>2109</v>
      </c>
      <c r="D2107" s="3" t="str">
        <f>T("謝宇")</f>
        <v>謝宇</v>
      </c>
      <c r="E2107" s="3" t="str">
        <f>T("百花洲文藝")</f>
        <v>百花洲文藝</v>
      </c>
      <c r="F2107" s="3">
        <v>19.8</v>
      </c>
      <c r="G2107" s="3">
        <v>119</v>
      </c>
    </row>
    <row r="2108" spans="1:7" ht="14.25">
      <c r="A2108" s="3" t="str">
        <f>T("80742847")</f>
        <v>80742847</v>
      </c>
      <c r="B2108" s="14" t="s">
        <v>8333</v>
      </c>
      <c r="C2108" s="3" t="s">
        <v>2110</v>
      </c>
      <c r="D2108" s="3" t="str">
        <f>T("謝宇")</f>
        <v>謝宇</v>
      </c>
      <c r="E2108" s="3" t="str">
        <f>T("百花洲文藝")</f>
        <v>百花洲文藝</v>
      </c>
      <c r="F2108" s="3">
        <v>19.8</v>
      </c>
      <c r="G2108" s="3">
        <v>119</v>
      </c>
    </row>
    <row r="2109" spans="1:7" ht="14.25">
      <c r="A2109" s="3" t="str">
        <f>T("80742868")</f>
        <v>80742868</v>
      </c>
      <c r="B2109" s="14" t="s">
        <v>8335</v>
      </c>
      <c r="C2109" s="3" t="s">
        <v>2111</v>
      </c>
      <c r="D2109" s="3" t="str">
        <f>T("溫豔霞")</f>
        <v>溫豔霞</v>
      </c>
      <c r="E2109" s="3" t="str">
        <f>T("百花洲文藝")</f>
        <v>百花洲文藝</v>
      </c>
      <c r="F2109" s="3">
        <v>33</v>
      </c>
      <c r="G2109" s="3">
        <v>198</v>
      </c>
    </row>
    <row r="2110" spans="1:7" ht="14.25">
      <c r="A2110" s="3" t="str">
        <f>T("80742990")</f>
        <v>80742990</v>
      </c>
      <c r="B2110" s="14" t="s">
        <v>8338</v>
      </c>
      <c r="C2110" s="3" t="s">
        <v>2112</v>
      </c>
      <c r="D2110" s="3" t="str">
        <f>T("熊誠")</f>
        <v>熊誠</v>
      </c>
      <c r="E2110" s="3" t="str">
        <f>T("百花洲文藝")</f>
        <v>百花洲文藝</v>
      </c>
      <c r="F2110" s="3">
        <v>36</v>
      </c>
      <c r="G2110" s="3">
        <v>216</v>
      </c>
    </row>
    <row r="2111" spans="1:7" ht="14.25">
      <c r="A2111" s="3" t="str">
        <f>T("80744109")</f>
        <v>80744109</v>
      </c>
      <c r="B2111" s="14" t="s">
        <v>8341</v>
      </c>
      <c r="C2111" s="3" t="s">
        <v>2113</v>
      </c>
      <c r="D2111" s="3" t="str">
        <f>T("未建檔")</f>
        <v>未建檔</v>
      </c>
      <c r="E2111" s="3" t="str">
        <f>T("新疆美攝")</f>
        <v>新疆美攝</v>
      </c>
      <c r="F2111" s="3">
        <v>188</v>
      </c>
      <c r="G2111" s="3">
        <v>1128</v>
      </c>
    </row>
    <row r="2112" spans="1:7" ht="14.25">
      <c r="A2112" s="3" t="str">
        <f>T("80744115")</f>
        <v>80744115</v>
      </c>
      <c r="B2112" s="14" t="s">
        <v>8343</v>
      </c>
      <c r="C2112" s="3" t="s">
        <v>2114</v>
      </c>
      <c r="D2112" s="3" t="str">
        <f>T("未建檔")</f>
        <v>未建檔</v>
      </c>
      <c r="E2112" s="3" t="str">
        <f>T("新疆美攝")</f>
        <v>新疆美攝</v>
      </c>
      <c r="F2112" s="3">
        <v>8</v>
      </c>
      <c r="G2112" s="3">
        <v>48</v>
      </c>
    </row>
    <row r="2113" spans="1:7" ht="14.25">
      <c r="A2113" s="3" t="str">
        <f>T("80744116")</f>
        <v>80744116</v>
      </c>
      <c r="B2113" s="14" t="s">
        <v>8345</v>
      </c>
      <c r="C2113" s="3" t="s">
        <v>2115</v>
      </c>
      <c r="D2113" s="3" t="str">
        <f>T("未建檔")</f>
        <v>未建檔</v>
      </c>
      <c r="E2113" s="3" t="str">
        <f>T("新疆美攝")</f>
        <v>新疆美攝</v>
      </c>
      <c r="F2113" s="3">
        <v>8</v>
      </c>
      <c r="G2113" s="3">
        <v>48</v>
      </c>
    </row>
    <row r="2114" spans="1:7" ht="14.25">
      <c r="A2114" s="3" t="str">
        <f>T("80744117")</f>
        <v>80744117</v>
      </c>
      <c r="B2114" s="14" t="s">
        <v>8347</v>
      </c>
      <c r="C2114" s="3" t="s">
        <v>2116</v>
      </c>
      <c r="D2114" s="3" t="str">
        <f>T("未建檔")</f>
        <v>未建檔</v>
      </c>
      <c r="E2114" s="3" t="str">
        <f>T("新疆美攝")</f>
        <v>新疆美攝</v>
      </c>
      <c r="F2114" s="3">
        <v>8</v>
      </c>
      <c r="G2114" s="3">
        <v>48</v>
      </c>
    </row>
    <row r="2115" spans="1:7" ht="14.25">
      <c r="A2115" s="3" t="str">
        <f>T("80744118")</f>
        <v>80744118</v>
      </c>
      <c r="B2115" s="14" t="s">
        <v>8349</v>
      </c>
      <c r="C2115" s="3" t="s">
        <v>2117</v>
      </c>
      <c r="D2115" s="3" t="str">
        <f>T("未建檔")</f>
        <v>未建檔</v>
      </c>
      <c r="E2115" s="3" t="str">
        <f>T("新疆美攝")</f>
        <v>新疆美攝</v>
      </c>
      <c r="F2115" s="3">
        <v>8</v>
      </c>
      <c r="G2115" s="3">
        <v>48</v>
      </c>
    </row>
    <row r="2116" spans="1:7" ht="14.25">
      <c r="A2116" s="3" t="str">
        <f>T("80744119")</f>
        <v>80744119</v>
      </c>
      <c r="B2116" s="14" t="s">
        <v>8351</v>
      </c>
      <c r="C2116" s="3" t="s">
        <v>2118</v>
      </c>
      <c r="D2116" s="3" t="str">
        <f>T("未建檔")</f>
        <v>未建檔</v>
      </c>
      <c r="E2116" s="3" t="str">
        <f>T("新疆美攝")</f>
        <v>新疆美攝</v>
      </c>
      <c r="F2116" s="3">
        <v>8</v>
      </c>
      <c r="G2116" s="3">
        <v>48</v>
      </c>
    </row>
    <row r="2117" spans="1:7" ht="14.25">
      <c r="A2117" s="3" t="str">
        <f>T("80744121")</f>
        <v>80744121</v>
      </c>
      <c r="B2117" s="14" t="s">
        <v>8353</v>
      </c>
      <c r="C2117" s="3" t="s">
        <v>2119</v>
      </c>
      <c r="D2117" s="3" t="str">
        <f>T("未建檔")</f>
        <v>未建檔</v>
      </c>
      <c r="E2117" s="3" t="str">
        <f>T("新疆美攝")</f>
        <v>新疆美攝</v>
      </c>
      <c r="F2117" s="3">
        <v>8</v>
      </c>
      <c r="G2117" s="3">
        <v>48</v>
      </c>
    </row>
    <row r="2118" spans="1:7" ht="14.25">
      <c r="A2118" s="3" t="str">
        <f>T("80744186")</f>
        <v>80744186</v>
      </c>
      <c r="B2118" s="14" t="s">
        <v>8355</v>
      </c>
      <c r="C2118" s="3" t="s">
        <v>2120</v>
      </c>
      <c r="D2118" s="3" t="str">
        <f>T("未建檔")</f>
        <v>未建檔</v>
      </c>
      <c r="E2118" s="3" t="str">
        <f>T("新疆美攝")</f>
        <v>新疆美攝</v>
      </c>
      <c r="F2118" s="3">
        <v>260</v>
      </c>
      <c r="G2118" s="3">
        <v>1560</v>
      </c>
    </row>
    <row r="2119" spans="1:7" ht="14.25">
      <c r="A2119" s="3" t="str">
        <f>T("80744301")</f>
        <v>80744301</v>
      </c>
      <c r="B2119" s="14" t="s">
        <v>8357</v>
      </c>
      <c r="C2119" s="3" t="s">
        <v>2121</v>
      </c>
      <c r="D2119" s="3" t="str">
        <f>T("未建檔")</f>
        <v>未建檔</v>
      </c>
      <c r="E2119" s="3" t="str">
        <f>T("新疆美攝")</f>
        <v>新疆美攝</v>
      </c>
      <c r="F2119" s="3">
        <v>48</v>
      </c>
      <c r="G2119" s="3">
        <v>288</v>
      </c>
    </row>
    <row r="2120" spans="1:7" ht="14.25">
      <c r="A2120" s="3" t="str">
        <f>T("80745352")</f>
        <v>80745352</v>
      </c>
      <c r="B2120" s="14" t="s">
        <v>8359</v>
      </c>
      <c r="C2120" s="3" t="s">
        <v>2122</v>
      </c>
      <c r="D2120" s="3" t="str">
        <f>T("仝冰雪")</f>
        <v>仝冰雪</v>
      </c>
      <c r="E2120" s="3" t="str">
        <f>T("上海社科")</f>
        <v>上海社科</v>
      </c>
      <c r="F2120" s="3">
        <v>65</v>
      </c>
      <c r="G2120" s="3">
        <v>390</v>
      </c>
    </row>
    <row r="2121" spans="1:7" ht="14.25">
      <c r="A2121" s="3" t="str">
        <f>T("80745604")</f>
        <v>80745604</v>
      </c>
      <c r="B2121" s="14" t="s">
        <v>8362</v>
      </c>
      <c r="C2121" s="3" t="s">
        <v>2123</v>
      </c>
      <c r="D2121" s="3" t="str">
        <f>T("何聿光主編")</f>
        <v>何聿光主編</v>
      </c>
      <c r="E2121" s="3" t="str">
        <f>T("上海社科")</f>
        <v>上海社科</v>
      </c>
      <c r="F2121" s="3">
        <v>28</v>
      </c>
      <c r="G2121" s="3">
        <v>168</v>
      </c>
    </row>
    <row r="2122" spans="1:7" ht="14.25">
      <c r="A2122" s="3" t="str">
        <f>T("80745673")</f>
        <v>80745673</v>
      </c>
      <c r="B2122" s="14" t="s">
        <v>8365</v>
      </c>
      <c r="C2122" s="3" t="s">
        <v>2124</v>
      </c>
      <c r="D2122" s="3" t="str">
        <f>T("上海社會科學院房地產業研究中心. 上海市房產經濟學會. 編")</f>
        <v>上海社會科學院房地產業研究中心. 上海市房產經濟學會. 編</v>
      </c>
      <c r="E2122" s="3" t="str">
        <f>T("上海社科")</f>
        <v>上海社科</v>
      </c>
      <c r="F2122" s="3">
        <v>30</v>
      </c>
      <c r="G2122" s="3">
        <v>180</v>
      </c>
    </row>
    <row r="2123" spans="1:7" ht="14.25">
      <c r="A2123" s="3" t="str">
        <f>T("80745679")</f>
        <v>80745679</v>
      </c>
      <c r="B2123" s="14" t="s">
        <v>8368</v>
      </c>
      <c r="C2123" s="3" t="s">
        <v>2125</v>
      </c>
      <c r="D2123" s="3" t="str">
        <f>T("胡雅龍. 主編")</f>
        <v>胡雅龍. 主編</v>
      </c>
      <c r="E2123" s="3" t="str">
        <f>T("上海社科")</f>
        <v>上海社科</v>
      </c>
      <c r="F2123" s="3">
        <v>78</v>
      </c>
      <c r="G2123" s="3">
        <v>468</v>
      </c>
    </row>
    <row r="2124" spans="1:7" ht="14.25">
      <c r="A2124" s="3" t="str">
        <f>T("80745681")</f>
        <v>80745681</v>
      </c>
      <c r="B2124" s="14" t="s">
        <v>8371</v>
      </c>
      <c r="C2124" s="3" t="s">
        <v>2126</v>
      </c>
      <c r="D2124" s="3" t="str">
        <f>T("肯.沃爾夫")</f>
        <v>肯.沃爾夫</v>
      </c>
      <c r="E2124" s="3" t="str">
        <f>T("上海社科")</f>
        <v>上海社科</v>
      </c>
      <c r="F2124" s="3">
        <v>38</v>
      </c>
      <c r="G2124" s="3">
        <v>228</v>
      </c>
    </row>
    <row r="2125" spans="1:7" ht="14.25">
      <c r="A2125" s="3" t="str">
        <f>T("80745692")</f>
        <v>80745692</v>
      </c>
      <c r="B2125" s="14" t="s">
        <v>8374</v>
      </c>
      <c r="C2125" s="3" t="s">
        <v>2127</v>
      </c>
      <c r="D2125" s="3" t="str">
        <f>T("金芳. 等著")</f>
        <v>金芳. 等著</v>
      </c>
      <c r="E2125" s="3" t="str">
        <f>T("上海社科")</f>
        <v>上海社科</v>
      </c>
      <c r="F2125" s="3">
        <v>35</v>
      </c>
      <c r="G2125" s="3">
        <v>210</v>
      </c>
    </row>
    <row r="2126" spans="1:7" ht="14.25">
      <c r="A2126" s="3" t="str">
        <f>T("80745699")</f>
        <v>80745699</v>
      </c>
      <c r="B2126" s="14" t="s">
        <v>8377</v>
      </c>
      <c r="C2126" s="3" t="s">
        <v>2128</v>
      </c>
      <c r="D2126" s="3" t="str">
        <f>T("李軼海. 主編")</f>
        <v>李軼海. 主編</v>
      </c>
      <c r="E2126" s="3" t="str">
        <f>T("上海社科")</f>
        <v>上海社科</v>
      </c>
      <c r="F2126" s="3">
        <v>65</v>
      </c>
      <c r="G2126" s="3">
        <v>390</v>
      </c>
    </row>
    <row r="2127" spans="1:7" ht="14.25">
      <c r="A2127" s="3" t="str">
        <f>T("80746189")</f>
        <v>80746189</v>
      </c>
      <c r="B2127" s="14" t="s">
        <v>8380</v>
      </c>
      <c r="C2127" s="3" t="s">
        <v>2129</v>
      </c>
      <c r="D2127" s="3" t="str">
        <f>T("中國美術館")</f>
        <v>中國美術館</v>
      </c>
      <c r="E2127" s="3" t="str">
        <f>T("廣西美術")</f>
        <v>廣西美術</v>
      </c>
      <c r="F2127" s="3">
        <v>180</v>
      </c>
      <c r="G2127" s="3">
        <v>1080</v>
      </c>
    </row>
    <row r="2128" spans="1:7" ht="14.25">
      <c r="A2128" s="3" t="str">
        <f>T("80746713")</f>
        <v>80746713</v>
      </c>
      <c r="B2128" s="14" t="s">
        <v>8384</v>
      </c>
      <c r="C2128" s="3" t="s">
        <v>2130</v>
      </c>
      <c r="D2128" s="3" t="str">
        <f>T("廣西美術出版社美術館")</f>
        <v>廣西美術出版社美術館</v>
      </c>
      <c r="E2128" s="3" t="str">
        <f>T("廣西美術")</f>
        <v>廣西美術</v>
      </c>
      <c r="F2128" s="3">
        <v>48</v>
      </c>
      <c r="G2128" s="3">
        <v>288</v>
      </c>
    </row>
    <row r="2129" spans="1:7" ht="14.25">
      <c r="A2129" s="3" t="str">
        <f>T("80749097")</f>
        <v>80749097</v>
      </c>
      <c r="B2129" s="14" t="s">
        <v>8387</v>
      </c>
      <c r="C2129" s="3" t="s">
        <v>2131</v>
      </c>
      <c r="D2129" s="3" t="str">
        <f>T("尋勝蘭")</f>
        <v>尋勝蘭</v>
      </c>
      <c r="E2129" s="3" t="str">
        <f>T("江西美術")</f>
        <v>江西美術</v>
      </c>
      <c r="F2129" s="3">
        <v>25</v>
      </c>
      <c r="G2129" s="3">
        <v>150</v>
      </c>
    </row>
    <row r="2130" spans="1:7" ht="14.25">
      <c r="A2130" s="3" t="str">
        <f>T("80749310")</f>
        <v>80749310</v>
      </c>
      <c r="B2130" s="14" t="s">
        <v>8390</v>
      </c>
      <c r="C2130" s="3" t="s">
        <v>2132</v>
      </c>
      <c r="D2130" s="3" t="str">
        <f>T("吳祚來")</f>
        <v>吳祚來</v>
      </c>
      <c r="E2130" s="3" t="str">
        <f>T("江西美術")</f>
        <v>江西美術</v>
      </c>
      <c r="F2130" s="3">
        <v>26</v>
      </c>
      <c r="G2130" s="3">
        <v>156</v>
      </c>
    </row>
    <row r="2131" spans="1:7" ht="14.25">
      <c r="A2131" s="3" t="str">
        <f>T("80749414")</f>
        <v>80749414</v>
      </c>
      <c r="B2131" s="14" t="s">
        <v>8393</v>
      </c>
      <c r="C2131" s="3" t="s">
        <v>2133</v>
      </c>
      <c r="D2131" s="3" t="str">
        <f>T("楊建峰")</f>
        <v>楊建峰</v>
      </c>
      <c r="E2131" s="3" t="str">
        <f>T("江西美術")</f>
        <v>江西美術</v>
      </c>
      <c r="F2131" s="3">
        <v>88</v>
      </c>
      <c r="G2131" s="3">
        <v>528</v>
      </c>
    </row>
    <row r="2132" spans="1:7" ht="14.25">
      <c r="A2132" s="3" t="str">
        <f>T("80749422")</f>
        <v>80749422</v>
      </c>
      <c r="B2132" s="14" t="s">
        <v>8396</v>
      </c>
      <c r="C2132" s="3" t="s">
        <v>2134</v>
      </c>
      <c r="D2132" s="3" t="str">
        <f>T("楊建峰")</f>
        <v>楊建峰</v>
      </c>
      <c r="E2132" s="3" t="str">
        <f>T("江西美術")</f>
        <v>江西美術</v>
      </c>
      <c r="F2132" s="3">
        <v>88</v>
      </c>
      <c r="G2132" s="3">
        <v>528</v>
      </c>
    </row>
    <row r="2133" spans="1:7" ht="14.25">
      <c r="A2133" s="3" t="str">
        <f>T("80749427")</f>
        <v>80749427</v>
      </c>
      <c r="B2133" s="14" t="s">
        <v>8398</v>
      </c>
      <c r="C2133" s="3" t="s">
        <v>2135</v>
      </c>
      <c r="D2133" s="3" t="str">
        <f>T("楊建峰")</f>
        <v>楊建峰</v>
      </c>
      <c r="E2133" s="3" t="str">
        <f>T("江西美術")</f>
        <v>江西美術</v>
      </c>
      <c r="F2133" s="3">
        <v>88</v>
      </c>
      <c r="G2133" s="3">
        <v>528</v>
      </c>
    </row>
    <row r="2134" spans="1:7" ht="14.25">
      <c r="A2134" s="3" t="str">
        <f>T("80752114")</f>
        <v>80752114</v>
      </c>
      <c r="B2134" s="14" t="s">
        <v>8400</v>
      </c>
      <c r="C2134" s="3" t="s">
        <v>2136</v>
      </c>
      <c r="D2134" s="3" t="str">
        <f>T("劉永華")</f>
        <v>劉永華</v>
      </c>
      <c r="E2134" s="3" t="str">
        <f>T("巴蜀書社")</f>
        <v>巴蜀書社</v>
      </c>
      <c r="F2134" s="3">
        <v>26</v>
      </c>
      <c r="G2134" s="3">
        <v>156</v>
      </c>
    </row>
    <row r="2135" spans="1:7" ht="14.25">
      <c r="A2135" s="3" t="str">
        <f>T("80752197")</f>
        <v>80752197</v>
      </c>
      <c r="B2135" s="14" t="s">
        <v>8403</v>
      </c>
      <c r="C2135" s="3" t="s">
        <v>2137</v>
      </c>
      <c r="D2135" s="3" t="str">
        <f>T("陳應鸞著")</f>
        <v>陳應鸞著</v>
      </c>
      <c r="E2135" s="3" t="str">
        <f>T("巴蜀書社")</f>
        <v>巴蜀書社</v>
      </c>
      <c r="F2135" s="3">
        <v>29</v>
      </c>
      <c r="G2135" s="3">
        <v>174</v>
      </c>
    </row>
    <row r="2136" spans="1:7" ht="14.25">
      <c r="A2136" s="3" t="str">
        <f>T("80752233")</f>
        <v>80752233</v>
      </c>
      <c r="B2136" s="14" t="s">
        <v>8406</v>
      </c>
      <c r="C2136" s="3" t="s">
        <v>2138</v>
      </c>
      <c r="D2136" s="3" t="str">
        <f>T("鄭劍平")</f>
        <v>鄭劍平</v>
      </c>
      <c r="E2136" s="3" t="str">
        <f>T("巴蜀書社")</f>
        <v>巴蜀書社</v>
      </c>
      <c r="F2136" s="3">
        <v>25</v>
      </c>
      <c r="G2136" s="3">
        <v>150</v>
      </c>
    </row>
    <row r="2137" spans="1:7" ht="14.25">
      <c r="A2137" s="3" t="str">
        <f>T("80752307")</f>
        <v>80752307</v>
      </c>
      <c r="B2137" s="14" t="s">
        <v>8409</v>
      </c>
      <c r="C2137" s="3" t="s">
        <v>7</v>
      </c>
      <c r="D2137" s="3" t="str">
        <f>T("段麗萍")</f>
        <v>段麗萍</v>
      </c>
      <c r="E2137" s="3" t="str">
        <f>T("巴蜀書社")</f>
        <v>巴蜀書社</v>
      </c>
      <c r="F2137" s="3">
        <v>30</v>
      </c>
      <c r="G2137" s="3">
        <v>180</v>
      </c>
    </row>
    <row r="2138" spans="1:7" ht="14.25">
      <c r="A2138" s="3" t="str">
        <f>T("80752358")</f>
        <v>80752358</v>
      </c>
      <c r="B2138" s="14" t="s">
        <v>8413</v>
      </c>
      <c r="C2138" s="3" t="s">
        <v>2139</v>
      </c>
      <c r="D2138" s="3" t="str">
        <f>T("劉傅鴻")</f>
        <v>劉傅鴻</v>
      </c>
      <c r="E2138" s="3" t="str">
        <f>T("巴蜀書社")</f>
        <v>巴蜀書社</v>
      </c>
      <c r="F2138" s="3">
        <v>26</v>
      </c>
      <c r="G2138" s="3">
        <v>156</v>
      </c>
    </row>
    <row r="2139" spans="1:7" ht="14.25">
      <c r="A2139" s="3" t="str">
        <f>T("80752360")</f>
        <v>80752360</v>
      </c>
      <c r="B2139" s="14" t="s">
        <v>8416</v>
      </c>
      <c r="C2139" s="3" t="s">
        <v>2140</v>
      </c>
      <c r="D2139" s="3" t="str">
        <f>T("賈順先等")</f>
        <v>賈順先等</v>
      </c>
      <c r="E2139" s="3" t="str">
        <f>T("巴蜀書社")</f>
        <v>巴蜀書社</v>
      </c>
      <c r="F2139" s="3">
        <v>25</v>
      </c>
      <c r="G2139" s="3">
        <v>150</v>
      </c>
    </row>
    <row r="2140" spans="1:7" ht="14.25">
      <c r="A2140" s="3" t="str">
        <f>T("80752373")</f>
        <v>80752373</v>
      </c>
      <c r="B2140" s="14" t="s">
        <v>8419</v>
      </c>
      <c r="C2140" s="3" t="s">
        <v>2141</v>
      </c>
      <c r="D2140" s="3" t="str">
        <f>T("岳凱華")</f>
        <v>岳凱華</v>
      </c>
      <c r="E2140" s="3" t="str">
        <f>T("巴蜀書社")</f>
        <v>巴蜀書社</v>
      </c>
      <c r="F2140" s="3">
        <v>25</v>
      </c>
      <c r="G2140" s="3">
        <v>150</v>
      </c>
    </row>
    <row r="2141" spans="1:7" ht="14.25">
      <c r="A2141" s="3" t="str">
        <f>T("80752450")</f>
        <v>80752450</v>
      </c>
      <c r="B2141" s="14" t="s">
        <v>8422</v>
      </c>
      <c r="C2141" s="3" t="s">
        <v>2142</v>
      </c>
      <c r="D2141" s="3" t="str">
        <f>T("劉聰")</f>
        <v>劉聰</v>
      </c>
      <c r="E2141" s="3" t="str">
        <f>T("巴蜀書社")</f>
        <v>巴蜀書社</v>
      </c>
      <c r="F2141" s="3">
        <v>23</v>
      </c>
      <c r="G2141" s="3">
        <v>138</v>
      </c>
    </row>
    <row r="2142" spans="1:7" ht="14.25">
      <c r="A2142" s="3" t="str">
        <f>T("80752481")</f>
        <v>80752481</v>
      </c>
      <c r="B2142" s="14" t="s">
        <v>8425</v>
      </c>
      <c r="C2142" s="3" t="s">
        <v>2143</v>
      </c>
      <c r="D2142" s="3" t="str">
        <f>T("唐代興")</f>
        <v>唐代興</v>
      </c>
      <c r="E2142" s="3" t="str">
        <f>T("巴蜀書社")</f>
        <v>巴蜀書社</v>
      </c>
      <c r="F2142" s="3">
        <v>46</v>
      </c>
      <c r="G2142" s="3">
        <v>276</v>
      </c>
    </row>
    <row r="2143" spans="1:7" ht="14.25">
      <c r="A2143" s="3" t="str">
        <f>T("80752485")</f>
        <v>80752485</v>
      </c>
      <c r="B2143" s="14" t="s">
        <v>8428</v>
      </c>
      <c r="C2143" s="3" t="s">
        <v>2144</v>
      </c>
      <c r="D2143" s="3" t="str">
        <f>T("許興寶")</f>
        <v>許興寶</v>
      </c>
      <c r="E2143" s="3" t="str">
        <f>T("巴蜀書社")</f>
        <v>巴蜀書社</v>
      </c>
      <c r="F2143" s="3">
        <v>25</v>
      </c>
      <c r="G2143" s="3">
        <v>150</v>
      </c>
    </row>
    <row r="2144" spans="1:7" ht="14.25">
      <c r="A2144" s="3" t="str">
        <f>T("80752503")</f>
        <v>80752503</v>
      </c>
      <c r="B2144" s="14" t="s">
        <v>8431</v>
      </c>
      <c r="C2144" s="3" t="s">
        <v>2145</v>
      </c>
      <c r="D2144" s="3" t="str">
        <f>T("冉雲飛著")</f>
        <v>冉雲飛著</v>
      </c>
      <c r="E2144" s="3" t="str">
        <f>T("巴蜀書社")</f>
        <v>巴蜀書社</v>
      </c>
      <c r="F2144" s="3">
        <v>28</v>
      </c>
      <c r="G2144" s="3">
        <v>168</v>
      </c>
    </row>
    <row r="2145" spans="1:7" ht="14.25">
      <c r="A2145" s="3" t="str">
        <f>T("80752538")</f>
        <v>80752538</v>
      </c>
      <c r="B2145" s="14" t="s">
        <v>8434</v>
      </c>
      <c r="C2145" s="3" t="s">
        <v>2146</v>
      </c>
      <c r="D2145" s="3" t="str">
        <f>T("曹方林")</f>
        <v>曹方林</v>
      </c>
      <c r="E2145" s="3" t="str">
        <f>T("巴蜀書社")</f>
        <v>巴蜀書社</v>
      </c>
      <c r="F2145" s="3">
        <v>15</v>
      </c>
      <c r="G2145" s="3">
        <v>90</v>
      </c>
    </row>
    <row r="2146" spans="1:7" ht="14.25">
      <c r="A2146" s="3" t="str">
        <f>T("80752539")</f>
        <v>80752539</v>
      </c>
      <c r="B2146" s="14" t="s">
        <v>8437</v>
      </c>
      <c r="C2146" s="3" t="s">
        <v>2147</v>
      </c>
      <c r="D2146" s="3" t="str">
        <f>T("羅鷺著")</f>
        <v>羅鷺著</v>
      </c>
      <c r="E2146" s="3" t="str">
        <f>T("巴蜀書社")</f>
        <v>巴蜀書社</v>
      </c>
      <c r="F2146" s="3">
        <v>40</v>
      </c>
      <c r="G2146" s="3">
        <v>240</v>
      </c>
    </row>
    <row r="2147" spans="1:7" ht="14.25">
      <c r="A2147" s="3" t="str">
        <f>T("80752543")</f>
        <v>80752543</v>
      </c>
      <c r="B2147" s="14" t="s">
        <v>8440</v>
      </c>
      <c r="C2147" s="3" t="s">
        <v>2148</v>
      </c>
      <c r="D2147" s="3" t="str">
        <f>T("王彤偉")</f>
        <v>王彤偉</v>
      </c>
      <c r="E2147" s="3" t="str">
        <f>T("巴蜀書社")</f>
        <v>巴蜀書社</v>
      </c>
      <c r="F2147" s="3">
        <v>58</v>
      </c>
      <c r="G2147" s="3">
        <v>348</v>
      </c>
    </row>
    <row r="2148" spans="1:7" ht="14.25">
      <c r="A2148" s="3" t="str">
        <f>T("80752545")</f>
        <v>80752545</v>
      </c>
      <c r="B2148" s="14" t="s">
        <v>8443</v>
      </c>
      <c r="C2148" s="3" t="s">
        <v>2149</v>
      </c>
      <c r="D2148" s="3" t="str">
        <f>T("中國郭沫若研究會")</f>
        <v>中國郭沫若研究會</v>
      </c>
      <c r="E2148" s="3" t="str">
        <f>T("巴蜀書社")</f>
        <v>巴蜀書社</v>
      </c>
      <c r="F2148" s="3">
        <v>28</v>
      </c>
      <c r="G2148" s="3">
        <v>168</v>
      </c>
    </row>
    <row r="2149" spans="1:7" ht="14.25">
      <c r="A2149" s="3" t="str">
        <f>T("80752553")</f>
        <v>80752553</v>
      </c>
      <c r="B2149" s="14" t="s">
        <v>8446</v>
      </c>
      <c r="C2149" s="3" t="s">
        <v>2150</v>
      </c>
      <c r="D2149" s="3" t="str">
        <f>T("劉玉珺. 著")</f>
        <v>劉玉珺. 著</v>
      </c>
      <c r="E2149" s="3" t="str">
        <f>T("巴蜀書社")</f>
        <v>巴蜀書社</v>
      </c>
      <c r="F2149" s="3">
        <v>28</v>
      </c>
      <c r="G2149" s="3">
        <v>168</v>
      </c>
    </row>
    <row r="2150" spans="1:7" ht="14.25">
      <c r="A2150" s="3" t="str">
        <f>T("80752558")</f>
        <v>80752558</v>
      </c>
      <c r="B2150" s="14" t="s">
        <v>8449</v>
      </c>
      <c r="C2150" s="3" t="s">
        <v>2151</v>
      </c>
      <c r="D2150" s="3" t="str">
        <f>T("羅國威著")</f>
        <v>羅國威著</v>
      </c>
      <c r="E2150" s="3" t="str">
        <f>T("巴蜀書社")</f>
        <v>巴蜀書社</v>
      </c>
      <c r="F2150" s="3">
        <v>25</v>
      </c>
      <c r="G2150" s="3">
        <v>150</v>
      </c>
    </row>
    <row r="2151" spans="1:7" ht="14.25">
      <c r="A2151" s="3" t="str">
        <f>T("80752626")</f>
        <v>80752626</v>
      </c>
      <c r="B2151" s="14" t="s">
        <v>8452</v>
      </c>
      <c r="C2151" s="3" t="s">
        <v>2152</v>
      </c>
      <c r="D2151" s="3" t="str">
        <f>T("曾加榮. 著")</f>
        <v>曾加榮. 著</v>
      </c>
      <c r="E2151" s="3" t="str">
        <f>T("巴蜀書社")</f>
        <v>巴蜀書社</v>
      </c>
      <c r="F2151" s="3">
        <v>12</v>
      </c>
      <c r="G2151" s="3">
        <v>72</v>
      </c>
    </row>
    <row r="2152" spans="1:7" ht="14.25">
      <c r="A2152" s="3" t="str">
        <f>T("80752812")</f>
        <v>80752812</v>
      </c>
      <c r="B2152" s="14" t="s">
        <v>8455</v>
      </c>
      <c r="C2152" s="3" t="s">
        <v>2153</v>
      </c>
      <c r="D2152" s="3" t="str">
        <f>T("張忠")</f>
        <v>張忠</v>
      </c>
      <c r="E2152" s="3" t="str">
        <f>T("巴蜀書社")</f>
        <v>巴蜀書社</v>
      </c>
      <c r="F2152" s="3">
        <v>19</v>
      </c>
      <c r="G2152" s="3">
        <v>114</v>
      </c>
    </row>
    <row r="2153" spans="1:7" ht="14.25">
      <c r="A2153" s="3" t="str">
        <f>T("80753095")</f>
        <v>80753095</v>
      </c>
      <c r="B2153" s="14" t="s">
        <v>8458</v>
      </c>
      <c r="C2153" s="3" t="s">
        <v>2154</v>
      </c>
      <c r="D2153" s="3" t="str">
        <f>T("孟曉輝 范明姬")</f>
        <v>孟曉輝 范明姬</v>
      </c>
      <c r="E2153" s="3" t="str">
        <f>T("哈爾濱")</f>
        <v>哈爾濱</v>
      </c>
      <c r="F2153" s="3">
        <v>28.8</v>
      </c>
      <c r="G2153" s="3">
        <v>173</v>
      </c>
    </row>
    <row r="2154" spans="1:7" ht="14.25">
      <c r="A2154" s="3" t="str">
        <f>T("80753096")</f>
        <v>80753096</v>
      </c>
      <c r="B2154" s="14" t="s">
        <v>8462</v>
      </c>
      <c r="C2154" s="3" t="s">
        <v>2155</v>
      </c>
      <c r="D2154" s="3" t="str">
        <f>T("吳倩")</f>
        <v>吳倩</v>
      </c>
      <c r="E2154" s="3" t="str">
        <f>T("哈爾濱")</f>
        <v>哈爾濱</v>
      </c>
      <c r="F2154" s="3">
        <v>28.8</v>
      </c>
      <c r="G2154" s="3">
        <v>173</v>
      </c>
    </row>
    <row r="2155" spans="1:7" ht="14.25">
      <c r="A2155" s="3" t="str">
        <f>T("80753388")</f>
        <v>80753388</v>
      </c>
      <c r="B2155" s="14" t="s">
        <v>8465</v>
      </c>
      <c r="C2155" s="3" t="s">
        <v>2156</v>
      </c>
      <c r="D2155" s="3" t="str">
        <f>T("張薇")</f>
        <v>張薇</v>
      </c>
      <c r="E2155" s="3" t="str">
        <f>T("哈爾濱")</f>
        <v>哈爾濱</v>
      </c>
      <c r="F2155" s="3">
        <v>29.8</v>
      </c>
      <c r="G2155" s="3">
        <v>179</v>
      </c>
    </row>
    <row r="2156" spans="1:7" ht="14.25">
      <c r="A2156" s="3" t="str">
        <f>T("80753426")</f>
        <v>80753426</v>
      </c>
      <c r="B2156" s="14" t="s">
        <v>8468</v>
      </c>
      <c r="C2156" s="3" t="s">
        <v>2157</v>
      </c>
      <c r="D2156" s="3" t="str">
        <f>T("韓守信")</f>
        <v>韓守信</v>
      </c>
      <c r="E2156" s="3" t="str">
        <f>T("哈爾濱")</f>
        <v>哈爾濱</v>
      </c>
      <c r="F2156" s="3">
        <v>28.8</v>
      </c>
      <c r="G2156" s="3">
        <v>173</v>
      </c>
    </row>
    <row r="2157" spans="1:7" ht="14.25">
      <c r="A2157" s="3" t="str">
        <f>T("80753606")</f>
        <v>80753606</v>
      </c>
      <c r="B2157" s="14" t="s">
        <v>8471</v>
      </c>
      <c r="C2157" s="3" t="s">
        <v>2158</v>
      </c>
      <c r="D2157" s="3" t="str">
        <f>T("吳倩編著")</f>
        <v>吳倩編著</v>
      </c>
      <c r="E2157" s="3" t="str">
        <f>T("哈爾濱")</f>
        <v>哈爾濱</v>
      </c>
      <c r="F2157" s="3">
        <v>28</v>
      </c>
      <c r="G2157" s="3">
        <v>168</v>
      </c>
    </row>
    <row r="2158" spans="1:7" ht="14.25">
      <c r="A2158" s="3" t="str">
        <f>T("80753608")</f>
        <v>80753608</v>
      </c>
      <c r="B2158" s="14" t="s">
        <v>8474</v>
      </c>
      <c r="C2158" s="3" t="s">
        <v>2159</v>
      </c>
      <c r="D2158" s="3" t="str">
        <f>T("肖左編著")</f>
        <v>肖左編著</v>
      </c>
      <c r="E2158" s="3" t="str">
        <f>T("哈爾濱")</f>
        <v>哈爾濱</v>
      </c>
      <c r="F2158" s="3">
        <v>28</v>
      </c>
      <c r="G2158" s="3">
        <v>168</v>
      </c>
    </row>
    <row r="2159" spans="1:7" ht="14.25">
      <c r="A2159" s="3" t="str">
        <f>T("80753627")</f>
        <v>80753627</v>
      </c>
      <c r="B2159" s="14" t="s">
        <v>8477</v>
      </c>
      <c r="C2159" s="3" t="s">
        <v>2160</v>
      </c>
      <c r="D2159" s="3" t="str">
        <f>T("吳瓊編著")</f>
        <v>吳瓊編著</v>
      </c>
      <c r="E2159" s="3" t="str">
        <f>T("哈爾濱")</f>
        <v>哈爾濱</v>
      </c>
      <c r="F2159" s="3">
        <v>28</v>
      </c>
      <c r="G2159" s="3">
        <v>168</v>
      </c>
    </row>
    <row r="2160" spans="1:7" ht="14.25">
      <c r="A2160" s="3" t="str">
        <f>T("80753636")</f>
        <v>80753636</v>
      </c>
      <c r="B2160" s="14" t="s">
        <v>8480</v>
      </c>
      <c r="C2160" s="3" t="s">
        <v>2161</v>
      </c>
      <c r="D2160" s="3" t="str">
        <f>T("倪雪編著")</f>
        <v>倪雪編著</v>
      </c>
      <c r="E2160" s="3" t="str">
        <f>T("哈爾濱")</f>
        <v>哈爾濱</v>
      </c>
      <c r="F2160" s="3">
        <v>28</v>
      </c>
      <c r="G2160" s="3">
        <v>168</v>
      </c>
    </row>
    <row r="2161" spans="1:7" ht="14.25">
      <c r="A2161" s="3" t="str">
        <f>T("80753642")</f>
        <v>80753642</v>
      </c>
      <c r="B2161" s="14" t="s">
        <v>8483</v>
      </c>
      <c r="C2161" s="3" t="s">
        <v>2162</v>
      </c>
      <c r="D2161" s="3" t="str">
        <f>T("包冬冬編著")</f>
        <v>包冬冬編著</v>
      </c>
      <c r="E2161" s="3" t="str">
        <f>T("哈爾濱")</f>
        <v>哈爾濱</v>
      </c>
      <c r="F2161" s="3">
        <v>28</v>
      </c>
      <c r="G2161" s="3">
        <v>168</v>
      </c>
    </row>
    <row r="2162" spans="1:7" ht="14.25">
      <c r="A2162" s="3" t="str">
        <f>T("80753665")</f>
        <v>80753665</v>
      </c>
      <c r="B2162" s="14" t="s">
        <v>8486</v>
      </c>
      <c r="C2162" s="3" t="s">
        <v>2163</v>
      </c>
      <c r="D2162" s="3" t="str">
        <f>T("唐冉主編")</f>
        <v>唐冉主編</v>
      </c>
      <c r="E2162" s="3" t="str">
        <f>T("哈爾濱")</f>
        <v>哈爾濱</v>
      </c>
      <c r="F2162" s="3">
        <v>28</v>
      </c>
      <c r="G2162" s="3">
        <v>168</v>
      </c>
    </row>
    <row r="2163" spans="1:7" ht="14.25">
      <c r="A2163" s="3" t="str">
        <f>T("80753708")</f>
        <v>80753708</v>
      </c>
      <c r="B2163" s="14" t="s">
        <v>8489</v>
      </c>
      <c r="C2163" s="3" t="s">
        <v>2164</v>
      </c>
      <c r="D2163" s="3" t="str">
        <f>T("章小溪編著")</f>
        <v>章小溪編著</v>
      </c>
      <c r="E2163" s="3" t="str">
        <f>T("哈爾濱")</f>
        <v>哈爾濱</v>
      </c>
      <c r="F2163" s="3">
        <v>28</v>
      </c>
      <c r="G2163" s="3">
        <v>168</v>
      </c>
    </row>
    <row r="2164" spans="1:7" ht="14.25">
      <c r="A2164" s="3" t="str">
        <f>T("80755666")</f>
        <v>80755666</v>
      </c>
      <c r="B2164" s="14" t="s">
        <v>8496</v>
      </c>
      <c r="C2164" s="3" t="s">
        <v>2165</v>
      </c>
      <c r="D2164" s="3" t="str">
        <f>T("笑顏")</f>
        <v>笑顏</v>
      </c>
      <c r="E2164" s="3" t="str">
        <f>T("花山文藝")</f>
        <v>花山文藝</v>
      </c>
      <c r="F2164" s="3">
        <v>29.8</v>
      </c>
      <c r="G2164" s="3">
        <v>179</v>
      </c>
    </row>
    <row r="2165" spans="1:7" ht="14.25">
      <c r="A2165" s="3" t="str">
        <f>T("80755720")</f>
        <v>80755720</v>
      </c>
      <c r="B2165" s="14" t="s">
        <v>8499</v>
      </c>
      <c r="C2165" s="3" t="s">
        <v>2166</v>
      </c>
      <c r="D2165" s="3" t="str">
        <f>T("袁騰飛")</f>
        <v>袁騰飛</v>
      </c>
      <c r="E2165" s="3" t="str">
        <f>T("花山文藝")</f>
        <v>花山文藝</v>
      </c>
      <c r="F2165" s="3">
        <v>32.8</v>
      </c>
      <c r="G2165" s="3">
        <v>197</v>
      </c>
    </row>
    <row r="2166" spans="1:7" ht="14.25">
      <c r="A2166" s="3" t="str">
        <f>T("80757342")</f>
        <v>80757342</v>
      </c>
      <c r="B2166" s="14" t="s">
        <v>8502</v>
      </c>
      <c r="C2166" s="3" t="s">
        <v>2167</v>
      </c>
      <c r="D2166" s="3" t="str">
        <f>T("崔鍾雷")</f>
        <v>崔鍾雷</v>
      </c>
      <c r="E2166" s="3" t="str">
        <f>T("吉林攝影")</f>
        <v>吉林攝影</v>
      </c>
      <c r="F2166" s="3">
        <v>19.8</v>
      </c>
      <c r="G2166" s="3">
        <v>119</v>
      </c>
    </row>
    <row r="2167" spans="1:7" ht="14.25">
      <c r="A2167" s="3" t="str">
        <f>T("80761069")</f>
        <v>80761069</v>
      </c>
      <c r="B2167" s="14" t="s">
        <v>8506</v>
      </c>
      <c r="C2167" s="3" t="s">
        <v>2168</v>
      </c>
      <c r="D2167" s="3" t="str">
        <f>T("王齊州")</f>
        <v>王齊州</v>
      </c>
      <c r="E2167" s="3" t="str">
        <f>T("嶽麓書社")</f>
        <v>嶽麓書社</v>
      </c>
      <c r="F2167" s="3">
        <v>168</v>
      </c>
      <c r="G2167" s="3">
        <v>1008</v>
      </c>
    </row>
    <row r="2168" spans="1:7" ht="14.25">
      <c r="A2168" s="3" t="str">
        <f>T("80761186")</f>
        <v>80761186</v>
      </c>
      <c r="B2168" s="14" t="s">
        <v>8509</v>
      </c>
      <c r="C2168" s="3" t="s">
        <v>2169</v>
      </c>
      <c r="D2168" s="3" t="str">
        <f>T("葛劍雄")</f>
        <v>葛劍雄</v>
      </c>
      <c r="E2168" s="3" t="str">
        <f>T("嶽麓書社")</f>
        <v>嶽麓書社</v>
      </c>
      <c r="F2168" s="3">
        <v>21</v>
      </c>
      <c r="G2168" s="3">
        <v>126</v>
      </c>
    </row>
    <row r="2169" spans="1:7" ht="14.25">
      <c r="A2169" s="3" t="str">
        <f>T("80761219")</f>
        <v>80761219</v>
      </c>
      <c r="B2169" s="14" t="s">
        <v>8512</v>
      </c>
      <c r="C2169" s="3" t="s">
        <v>2170</v>
      </c>
      <c r="D2169" s="3" t="str">
        <f>T("曾    軍")</f>
        <v>曾    軍</v>
      </c>
      <c r="E2169" s="3" t="str">
        <f>T("嶽麓書社")</f>
        <v>嶽麓書社</v>
      </c>
      <c r="F2169" s="3">
        <v>20</v>
      </c>
      <c r="G2169" s="3">
        <v>120</v>
      </c>
    </row>
    <row r="2170" spans="1:7" ht="14.25">
      <c r="A2170" s="3" t="str">
        <f>T("80761239")</f>
        <v>80761239</v>
      </c>
      <c r="B2170" s="14" t="s">
        <v>8515</v>
      </c>
      <c r="C2170" s="3" t="s">
        <v>2171</v>
      </c>
      <c r="D2170" s="3" t="str">
        <f>T("安敏")</f>
        <v>安敏</v>
      </c>
      <c r="E2170" s="3" t="str">
        <f>T("嶽麓書社")</f>
        <v>嶽麓書社</v>
      </c>
      <c r="F2170" s="3">
        <v>25</v>
      </c>
      <c r="G2170" s="3">
        <v>150</v>
      </c>
    </row>
    <row r="2171" spans="1:7" ht="14.25">
      <c r="A2171" s="3" t="str">
        <f>T("80761262")</f>
        <v>80761262</v>
      </c>
      <c r="B2171" s="14" t="s">
        <v>8518</v>
      </c>
      <c r="C2171" s="3" t="s">
        <v>2172</v>
      </c>
      <c r="D2171" s="3" t="str">
        <f>T("梁啟超")</f>
        <v>梁啟超</v>
      </c>
      <c r="E2171" s="3" t="str">
        <f>T("嶽麓書社")</f>
        <v>嶽麓書社</v>
      </c>
      <c r="F2171" s="3">
        <v>31</v>
      </c>
      <c r="G2171" s="3">
        <v>186</v>
      </c>
    </row>
    <row r="2172" spans="1:7" ht="14.25">
      <c r="A2172" s="3" t="str">
        <f>T("80761361")</f>
        <v>80761361</v>
      </c>
      <c r="B2172" s="14" t="s">
        <v>8520</v>
      </c>
      <c r="C2172" s="3" t="s">
        <v>2173</v>
      </c>
      <c r="D2172" s="3" t="str">
        <f>T("王齊州. 著")</f>
        <v>王齊州. 著</v>
      </c>
      <c r="E2172" s="3" t="str">
        <f>T("嶽麓書社")</f>
        <v>嶽麓書社</v>
      </c>
      <c r="F2172" s="3">
        <v>25</v>
      </c>
      <c r="G2172" s="3">
        <v>150</v>
      </c>
    </row>
    <row r="2173" spans="1:7" ht="14.25">
      <c r="A2173" s="3" t="str">
        <f>T("80761416")</f>
        <v>80761416</v>
      </c>
      <c r="B2173" s="14" t="s">
        <v>8523</v>
      </c>
      <c r="C2173" s="3" t="s">
        <v>2174</v>
      </c>
      <c r="D2173" s="3" t="str">
        <f>T("劉彬彬")</f>
        <v>劉彬彬</v>
      </c>
      <c r="E2173" s="3" t="str">
        <f>T("嶽麓書社")</f>
        <v>嶽麓書社</v>
      </c>
      <c r="F2173" s="3">
        <v>32</v>
      </c>
      <c r="G2173" s="3">
        <v>192</v>
      </c>
    </row>
    <row r="2174" spans="1:7" ht="14.25">
      <c r="A2174" s="3" t="str">
        <f>T("80762492")</f>
        <v>80762492</v>
      </c>
      <c r="B2174" s="14" t="s">
        <v>8526</v>
      </c>
      <c r="C2174" s="3" t="s">
        <v>2175</v>
      </c>
      <c r="D2174" s="3" t="str">
        <f>T("劉訓練")</f>
        <v>劉訓練</v>
      </c>
      <c r="E2174" s="3" t="str">
        <f>T("吉林出版")</f>
        <v>吉林出版</v>
      </c>
      <c r="F2174" s="3">
        <v>42</v>
      </c>
      <c r="G2174" s="3">
        <v>252</v>
      </c>
    </row>
    <row r="2175" spans="1:7" ht="14.25">
      <c r="A2175" s="3" t="str">
        <f>T("80762822")</f>
        <v>80762822</v>
      </c>
      <c r="B2175" s="14" t="s">
        <v>8529</v>
      </c>
      <c r="C2175" s="3" t="s">
        <v>2176</v>
      </c>
      <c r="D2175" s="3" t="str">
        <f>T("劉繼興")</f>
        <v>劉繼興</v>
      </c>
      <c r="E2175" s="3" t="str">
        <f>T("吉林出版")</f>
        <v>吉林出版</v>
      </c>
      <c r="F2175" s="3">
        <v>29.8</v>
      </c>
      <c r="G2175" s="3">
        <v>179</v>
      </c>
    </row>
    <row r="2176" spans="1:7" ht="14.25">
      <c r="A2176" s="3" t="str">
        <f>T("80765289")</f>
        <v>80765289</v>
      </c>
      <c r="B2176" s="14" t="s">
        <v>8532</v>
      </c>
      <c r="C2176" s="3" t="s">
        <v>2177</v>
      </c>
      <c r="D2176" s="3" t="str">
        <f>T("宗沛妍. 著")</f>
        <v>宗沛妍. 著</v>
      </c>
      <c r="E2176" s="3" t="str">
        <f>T("河南文藝")</f>
        <v>河南文藝</v>
      </c>
      <c r="F2176" s="3">
        <v>32.8</v>
      </c>
      <c r="G2176" s="3">
        <v>197</v>
      </c>
    </row>
    <row r="2177" spans="1:7" ht="14.25">
      <c r="A2177" s="3" t="str">
        <f>T("80767375")</f>
        <v>80767375</v>
      </c>
      <c r="B2177" s="14" t="s">
        <v>8536</v>
      </c>
      <c r="C2177" s="3" t="s">
        <v>2178</v>
      </c>
      <c r="D2177" s="3" t="str">
        <f>T("解放著")</f>
        <v>解放著</v>
      </c>
      <c r="E2177" s="3" t="str">
        <f>T("山西經濟")</f>
        <v>山西經濟</v>
      </c>
      <c r="F2177" s="3">
        <v>28</v>
      </c>
      <c r="G2177" s="3">
        <v>168</v>
      </c>
    </row>
    <row r="2178" spans="1:7" ht="14.25">
      <c r="A2178" s="3" t="str">
        <f>T("81037865")</f>
        <v>81037865</v>
      </c>
      <c r="B2178" s="14" t="s">
        <v>8540</v>
      </c>
      <c r="C2178" s="3" t="s">
        <v>2179</v>
      </c>
      <c r="D2178" s="3" t="str">
        <f>T("李保華")</f>
        <v>李保華</v>
      </c>
      <c r="E2178" s="3" t="str">
        <f>T("蘇州大學")</f>
        <v>蘇州大學</v>
      </c>
      <c r="F2178" s="3">
        <v>15</v>
      </c>
      <c r="G2178" s="3">
        <v>90</v>
      </c>
    </row>
    <row r="2179" spans="1:7" ht="14.25">
      <c r="A2179" s="3" t="str">
        <f>T("81037866")</f>
        <v>81037866</v>
      </c>
      <c r="B2179" s="14" t="s">
        <v>8544</v>
      </c>
      <c r="C2179" s="3" t="s">
        <v>2180</v>
      </c>
      <c r="D2179" s="3" t="str">
        <f>T("馬家鼎")</f>
        <v>馬家鼎</v>
      </c>
      <c r="E2179" s="3" t="str">
        <f>T("蘇州大學")</f>
        <v>蘇州大學</v>
      </c>
      <c r="F2179" s="3">
        <v>15</v>
      </c>
      <c r="G2179" s="3">
        <v>90</v>
      </c>
    </row>
    <row r="2180" spans="1:7" ht="14.25">
      <c r="A2180" s="3" t="str">
        <f>T("81050866")</f>
        <v>81050866</v>
      </c>
      <c r="B2180" s="14" t="s">
        <v>8547</v>
      </c>
      <c r="C2180" s="3" t="s">
        <v>2181</v>
      </c>
      <c r="D2180" s="3" t="str">
        <f>T("張燕、王虹軍編著")</f>
        <v>張燕、王虹軍編著</v>
      </c>
      <c r="E2180" s="3" t="str">
        <f>T("東南大學")</f>
        <v>東南大學</v>
      </c>
      <c r="F2180" s="3">
        <v>65</v>
      </c>
      <c r="G2180" s="3">
        <v>390</v>
      </c>
    </row>
    <row r="2181" spans="1:7" ht="14.25">
      <c r="A2181" s="3" t="str">
        <f>T("81064530A")</f>
        <v>81064530A</v>
      </c>
      <c r="B2181" s="14" t="s">
        <v>8550</v>
      </c>
      <c r="C2181" s="3" t="s">
        <v>2182</v>
      </c>
      <c r="D2181" s="3" t="str">
        <f>T("楊學為")</f>
        <v>楊學為</v>
      </c>
      <c r="E2181" s="3" t="str">
        <f>T("首都師大")</f>
        <v>首都師大</v>
      </c>
      <c r="F2181" s="3">
        <v>192</v>
      </c>
      <c r="G2181" s="3">
        <v>1152</v>
      </c>
    </row>
    <row r="2182" spans="1:7" ht="14.25">
      <c r="A2182" s="3" t="str">
        <f>T("81064530B")</f>
        <v>81064530B</v>
      </c>
      <c r="B2182" s="14" t="s">
        <v>8550</v>
      </c>
      <c r="C2182" s="3" t="s">
        <v>2183</v>
      </c>
      <c r="D2182" s="3" t="str">
        <f>T("楊學為")</f>
        <v>楊學為</v>
      </c>
      <c r="E2182" s="3" t="str">
        <f>T("首都師大")</f>
        <v>首都師大</v>
      </c>
      <c r="F2182" s="3">
        <v>192</v>
      </c>
      <c r="G2182" s="3">
        <v>1152</v>
      </c>
    </row>
    <row r="2183" spans="1:7" ht="14.25">
      <c r="A2183" s="3" t="str">
        <f>T("81064530C")</f>
        <v>81064530C</v>
      </c>
      <c r="B2183" s="14" t="s">
        <v>8550</v>
      </c>
      <c r="C2183" s="3" t="s">
        <v>2184</v>
      </c>
      <c r="D2183" s="3" t="str">
        <f>T("楊學為")</f>
        <v>楊學為</v>
      </c>
      <c r="E2183" s="3" t="str">
        <f>T("首都師大")</f>
        <v>首都師大</v>
      </c>
      <c r="F2183" s="3">
        <v>192</v>
      </c>
      <c r="G2183" s="3">
        <v>1152</v>
      </c>
    </row>
    <row r="2184" spans="1:7" ht="14.25">
      <c r="A2184" s="3" t="str">
        <f>T("81064530D")</f>
        <v>81064530D</v>
      </c>
      <c r="B2184" s="14" t="s">
        <v>8550</v>
      </c>
      <c r="C2184" s="3" t="s">
        <v>2185</v>
      </c>
      <c r="D2184" s="3" t="str">
        <f>T("楊學為")</f>
        <v>楊學為</v>
      </c>
      <c r="E2184" s="3" t="str">
        <f>T("首都師大")</f>
        <v>首都師大</v>
      </c>
      <c r="F2184" s="3">
        <v>192</v>
      </c>
      <c r="G2184" s="3">
        <v>1152</v>
      </c>
    </row>
    <row r="2185" spans="1:7" ht="14.25">
      <c r="A2185" s="3" t="str">
        <f>T("81064530E")</f>
        <v>81064530E</v>
      </c>
      <c r="B2185" s="14" t="s">
        <v>8550</v>
      </c>
      <c r="C2185" s="3" t="s">
        <v>2186</v>
      </c>
      <c r="D2185" s="3" t="str">
        <f>T("楊學為")</f>
        <v>楊學為</v>
      </c>
      <c r="E2185" s="3" t="str">
        <f>T("首都師大")</f>
        <v>首都師大</v>
      </c>
      <c r="F2185" s="3">
        <v>192</v>
      </c>
      <c r="G2185" s="3">
        <v>1152</v>
      </c>
    </row>
    <row r="2186" spans="1:7" ht="14.25">
      <c r="A2186" s="3" t="str">
        <f>T("81064920")</f>
        <v>81064920</v>
      </c>
      <c r="B2186" s="14" t="s">
        <v>8558</v>
      </c>
      <c r="C2186" s="3" t="s">
        <v>2187</v>
      </c>
      <c r="D2186" s="3" t="str">
        <f>T("胡雙寶著")</f>
        <v>胡雙寶著</v>
      </c>
      <c r="E2186" s="3" t="str">
        <f>T("首都師大")</f>
        <v>首都師大</v>
      </c>
      <c r="F2186" s="3">
        <v>36</v>
      </c>
      <c r="G2186" s="3">
        <v>216</v>
      </c>
    </row>
    <row r="2187" spans="1:7" ht="14.25">
      <c r="A2187" s="3" t="str">
        <f>T("81085066")</f>
        <v>81085066</v>
      </c>
      <c r="B2187" s="14" t="s">
        <v>8561</v>
      </c>
      <c r="C2187" s="3" t="s">
        <v>2188</v>
      </c>
      <c r="D2187" s="3" t="str">
        <f>T("鍾 濤編著")</f>
        <v>鍾 濤編著</v>
      </c>
      <c r="E2187" s="3" t="str">
        <f>T("廣播學院")</f>
        <v>廣播學院</v>
      </c>
      <c r="F2187" s="3">
        <v>18</v>
      </c>
      <c r="G2187" s="3">
        <v>108</v>
      </c>
    </row>
    <row r="2188" spans="1:7" ht="14.25">
      <c r="A2188" s="3" t="str">
        <f>T("81085569")</f>
        <v>81085569</v>
      </c>
      <c r="B2188" s="14" t="s">
        <v>8565</v>
      </c>
      <c r="C2188" s="3" t="s">
        <v>2189</v>
      </c>
      <c r="D2188" s="3" t="str">
        <f>T("張晶")</f>
        <v>張晶</v>
      </c>
      <c r="E2188" s="3" t="str">
        <f>T("傳媒大學")</f>
        <v>傳媒大學</v>
      </c>
      <c r="F2188" s="3">
        <v>38</v>
      </c>
      <c r="G2188" s="3">
        <v>228</v>
      </c>
    </row>
    <row r="2189" spans="1:7" ht="14.25">
      <c r="A2189" s="3" t="str">
        <f>T("81091601")</f>
        <v>81091601</v>
      </c>
      <c r="B2189" s="14" t="s">
        <v>8569</v>
      </c>
      <c r="C2189" s="3" t="s">
        <v>2190</v>
      </c>
      <c r="D2189" s="3" t="str">
        <f>T("馬寶珠")</f>
        <v>馬寶珠</v>
      </c>
      <c r="E2189" s="3" t="str">
        <f>T("河南大學")</f>
        <v>河南大學</v>
      </c>
      <c r="F2189" s="3">
        <v>49</v>
      </c>
      <c r="G2189" s="3">
        <v>294</v>
      </c>
    </row>
    <row r="2190" spans="1:7" ht="14.25">
      <c r="A2190" s="3" t="str">
        <f>T("81091881")</f>
        <v>81091881</v>
      </c>
      <c r="B2190" s="14" t="s">
        <v>8573</v>
      </c>
      <c r="C2190" s="3" t="s">
        <v>2191</v>
      </c>
      <c r="D2190" s="3" t="str">
        <f>T("鄭先興")</f>
        <v>鄭先興</v>
      </c>
      <c r="E2190" s="3" t="str">
        <f>T("河南大學")</f>
        <v>河南大學</v>
      </c>
      <c r="F2190" s="3">
        <v>23</v>
      </c>
      <c r="G2190" s="3">
        <v>138</v>
      </c>
    </row>
    <row r="2191" spans="1:7" ht="14.25">
      <c r="A2191" s="3" t="str">
        <f>T("81096115")</f>
        <v>81096115</v>
      </c>
      <c r="B2191" s="14" t="s">
        <v>8576</v>
      </c>
      <c r="C2191" s="3" t="s">
        <v>2192</v>
      </c>
      <c r="D2191" s="3" t="str">
        <f>T("黃旭東")</f>
        <v>黃旭東</v>
      </c>
      <c r="E2191" s="3" t="str">
        <f>T("中央音樂")</f>
        <v>中央音樂</v>
      </c>
      <c r="F2191" s="3">
        <v>29</v>
      </c>
      <c r="G2191" s="3">
        <v>174</v>
      </c>
    </row>
    <row r="2192" spans="1:7" ht="14.25">
      <c r="A2192" s="3" t="str">
        <f>T("81096131")</f>
        <v>81096131</v>
      </c>
      <c r="B2192" s="14" t="s">
        <v>8580</v>
      </c>
      <c r="C2192" s="3" t="s">
        <v>2193</v>
      </c>
      <c r="D2192" s="3" t="str">
        <f>T("居其宏")</f>
        <v>居其宏</v>
      </c>
      <c r="E2192" s="3" t="str">
        <f>T("中央音樂")</f>
        <v>中央音樂</v>
      </c>
      <c r="F2192" s="3">
        <v>28</v>
      </c>
      <c r="G2192" s="3">
        <v>168</v>
      </c>
    </row>
    <row r="2193" spans="1:7" ht="14.25">
      <c r="A2193" s="3" t="str">
        <f>T("81106274")</f>
        <v>81106274</v>
      </c>
      <c r="B2193" s="14" t="s">
        <v>8583</v>
      </c>
      <c r="C2193" s="3" t="s">
        <v>2194</v>
      </c>
      <c r="D2193" s="3" t="str">
        <f>T("端木賜香編著")</f>
        <v>端木賜香編著</v>
      </c>
      <c r="E2193" s="3" t="str">
        <f>T("鄭州大學")</f>
        <v>鄭州大學</v>
      </c>
      <c r="F2193" s="3">
        <v>32</v>
      </c>
      <c r="G2193" s="3">
        <v>192</v>
      </c>
    </row>
    <row r="2194" spans="1:7" ht="14.25">
      <c r="A2194" s="3" t="str">
        <f>T("81110380")</f>
        <v>81110380</v>
      </c>
      <c r="B2194" s="14" t="s">
        <v>8587</v>
      </c>
      <c r="C2194" s="3" t="s">
        <v>2195</v>
      </c>
      <c r="D2194" s="3" t="str">
        <f>T("吳懷東")</f>
        <v>吳懷東</v>
      </c>
      <c r="E2194" s="3" t="str">
        <f>T("安徽大學")</f>
        <v>安徽大學</v>
      </c>
      <c r="F2194" s="3">
        <v>18.5</v>
      </c>
      <c r="G2194" s="3">
        <v>111</v>
      </c>
    </row>
    <row r="2195" spans="1:7" ht="14.25">
      <c r="A2195" s="3" t="str">
        <f>T("81110787")</f>
        <v>81110787</v>
      </c>
      <c r="B2195" s="14" t="s">
        <v>8591</v>
      </c>
      <c r="C2195" s="3" t="s">
        <v>2196</v>
      </c>
      <c r="D2195" s="3" t="str">
        <f>T("許俊松. 編著")</f>
        <v>許俊松. 編著</v>
      </c>
      <c r="E2195" s="3" t="str">
        <f>T("安徽大學")</f>
        <v>安徽大學</v>
      </c>
      <c r="F2195" s="3">
        <v>20</v>
      </c>
      <c r="G2195" s="3">
        <v>120</v>
      </c>
    </row>
    <row r="2196" spans="1:7" ht="14.25">
      <c r="A2196" s="3" t="str">
        <f>T("81115195")</f>
        <v>81115195</v>
      </c>
      <c r="B2196" s="14" t="s">
        <v>8594</v>
      </c>
      <c r="C2196" s="3" t="s">
        <v>2197</v>
      </c>
      <c r="D2196" s="3" t="str">
        <f>T("任月海")</f>
        <v>任月海</v>
      </c>
      <c r="E2196" s="3" t="str">
        <f>T("內蒙大學")</f>
        <v>內蒙大學</v>
      </c>
      <c r="F2196" s="3">
        <v>35</v>
      </c>
      <c r="G2196" s="3">
        <v>210</v>
      </c>
    </row>
    <row r="2197" spans="1:7" ht="14.25">
      <c r="A2197" s="3" t="str">
        <f>T("81115628")</f>
        <v>81115628</v>
      </c>
      <c r="B2197" s="14" t="s">
        <v>8598</v>
      </c>
      <c r="C2197" s="3" t="s">
        <v>2198</v>
      </c>
      <c r="D2197" s="3" t="str">
        <f>T("李波")</f>
        <v>李波</v>
      </c>
      <c r="E2197" s="3" t="str">
        <f>T("內蒙大學")</f>
        <v>內蒙大學</v>
      </c>
      <c r="F2197" s="3">
        <v>78</v>
      </c>
      <c r="G2197" s="3">
        <v>468</v>
      </c>
    </row>
    <row r="2198" spans="1:7" ht="14.25">
      <c r="A2198" s="3" t="str">
        <f>T("81118377")</f>
        <v>81118377</v>
      </c>
      <c r="B2198" s="14" t="s">
        <v>8601</v>
      </c>
      <c r="C2198" s="3" t="s">
        <v>2199</v>
      </c>
      <c r="D2198" s="3" t="str">
        <f>T("趙憲章")</f>
        <v>趙憲章</v>
      </c>
      <c r="E2198" s="3" t="str">
        <f>T("上海大學")</f>
        <v>上海大學</v>
      </c>
      <c r="F2198" s="3">
        <v>42</v>
      </c>
      <c r="G2198" s="3">
        <v>252</v>
      </c>
    </row>
    <row r="2199" spans="1:7" ht="14.25">
      <c r="A2199" s="3" t="str">
        <f>T("81118392")</f>
        <v>81118392</v>
      </c>
      <c r="B2199" s="14" t="s">
        <v>8605</v>
      </c>
      <c r="C2199" s="3" t="s">
        <v>2200</v>
      </c>
      <c r="D2199" s="3" t="str">
        <f>T("吳建中")</f>
        <v>吳建中</v>
      </c>
      <c r="E2199" s="3" t="str">
        <f>T("上海大學")</f>
        <v>上海大學</v>
      </c>
      <c r="F2199" s="3">
        <v>28</v>
      </c>
      <c r="G2199" s="3">
        <v>168</v>
      </c>
    </row>
    <row r="2200" spans="1:7" ht="14.25">
      <c r="A2200" s="3" t="str">
        <f>T("81119251")</f>
        <v>81119251</v>
      </c>
      <c r="B2200" s="14" t="s">
        <v>8608</v>
      </c>
      <c r="C2200" s="3" t="s">
        <v>2201</v>
      </c>
      <c r="D2200" s="3" t="str">
        <f>T("李福順")</f>
        <v>李福順</v>
      </c>
      <c r="E2200" s="3" t="str">
        <f>T("首都師大")</f>
        <v>首都師大</v>
      </c>
      <c r="F2200" s="3">
        <v>180</v>
      </c>
      <c r="G2200" s="3">
        <v>1080</v>
      </c>
    </row>
    <row r="2201" spans="1:7" ht="14.25">
      <c r="A2201" s="3" t="str">
        <f>T("81119294")</f>
        <v>81119294</v>
      </c>
      <c r="B2201" s="14" t="s">
        <v>8611</v>
      </c>
      <c r="C2201" s="3" t="s">
        <v>2202</v>
      </c>
      <c r="D2201" s="3" t="str">
        <f>T("於弢")</f>
        <v>於弢</v>
      </c>
      <c r="E2201" s="3" t="str">
        <f>T("首都師大")</f>
        <v>首都師大</v>
      </c>
      <c r="F2201" s="3">
        <v>49</v>
      </c>
      <c r="G2201" s="3">
        <v>294</v>
      </c>
    </row>
    <row r="2202" spans="1:7" ht="14.25">
      <c r="A2202" s="3" t="str">
        <f>T("81119424")</f>
        <v>81119424</v>
      </c>
      <c r="B2202" s="14" t="s">
        <v>8614</v>
      </c>
      <c r="C2202" s="3" t="s">
        <v>2203</v>
      </c>
      <c r="D2202" s="3" t="str">
        <f>T("費孝通")</f>
        <v>費孝通</v>
      </c>
      <c r="E2202" s="3" t="str">
        <f>T("首都師大")</f>
        <v>首都師大</v>
      </c>
      <c r="F2202" s="3">
        <v>80</v>
      </c>
      <c r="G2202" s="3">
        <v>480</v>
      </c>
    </row>
    <row r="2203" spans="1:7" ht="14.25">
      <c r="A2203" s="3" t="str">
        <f>T("81119505")</f>
        <v>81119505</v>
      </c>
      <c r="B2203" s="14" t="s">
        <v>8616</v>
      </c>
      <c r="C2203" s="3" t="s">
        <v>2204</v>
      </c>
      <c r="D2203" s="3" t="str">
        <f>T("王紅旗編")</f>
        <v>王紅旗編</v>
      </c>
      <c r="E2203" s="3" t="str">
        <f>T("首都師大")</f>
        <v>首都師大</v>
      </c>
      <c r="F2203" s="3">
        <v>26</v>
      </c>
      <c r="G2203" s="3">
        <v>156</v>
      </c>
    </row>
    <row r="2204" spans="1:7" ht="14.25">
      <c r="A2204" s="3" t="str">
        <f>T("81119534")</f>
        <v>81119534</v>
      </c>
      <c r="B2204" s="14" t="s">
        <v>8619</v>
      </c>
      <c r="C2204" s="3" t="s">
        <v>2205</v>
      </c>
      <c r="D2204" s="3" t="str">
        <f>T("王維玲")</f>
        <v>王維玲</v>
      </c>
      <c r="E2204" s="3" t="str">
        <f>T("首都師大")</f>
        <v>首都師大</v>
      </c>
      <c r="F2204" s="3">
        <v>49</v>
      </c>
      <c r="G2204" s="3">
        <v>294</v>
      </c>
    </row>
    <row r="2205" spans="1:7" ht="14.25">
      <c r="A2205" s="3" t="str">
        <f>T("81119538")</f>
        <v>81119538</v>
      </c>
      <c r="B2205" s="14" t="s">
        <v>8622</v>
      </c>
      <c r="C2205" s="3" t="s">
        <v>2206</v>
      </c>
      <c r="D2205" s="3" t="str">
        <f>T("徐柏容")</f>
        <v>徐柏容</v>
      </c>
      <c r="E2205" s="3" t="str">
        <f>T("首都師大")</f>
        <v>首都師大</v>
      </c>
      <c r="F2205" s="3">
        <v>42</v>
      </c>
      <c r="G2205" s="3">
        <v>252</v>
      </c>
    </row>
    <row r="2206" spans="1:7" ht="14.25">
      <c r="A2206" s="3" t="str">
        <f>T("81119540")</f>
        <v>81119540</v>
      </c>
      <c r="B2206" s="14" t="s">
        <v>8625</v>
      </c>
      <c r="C2206" s="3" t="s">
        <v>2207</v>
      </c>
      <c r="D2206" s="3" t="str">
        <f>T("潘國彥")</f>
        <v>潘國彥</v>
      </c>
      <c r="E2206" s="3" t="str">
        <f>T("首都師大")</f>
        <v>首都師大</v>
      </c>
      <c r="F2206" s="3">
        <v>42</v>
      </c>
      <c r="G2206" s="3">
        <v>252</v>
      </c>
    </row>
    <row r="2207" spans="1:7" ht="14.25">
      <c r="A2207" s="3" t="str">
        <f>T("81119754")</f>
        <v>81119754</v>
      </c>
      <c r="B2207" s="14" t="s">
        <v>8628</v>
      </c>
      <c r="C2207" s="3" t="s">
        <v>2208</v>
      </c>
      <c r="D2207" s="3" t="str">
        <f>T("張志忠")</f>
        <v>張志忠</v>
      </c>
      <c r="E2207" s="3" t="str">
        <f>T("首都師大")</f>
        <v>首都師大</v>
      </c>
      <c r="F2207" s="3">
        <v>27</v>
      </c>
      <c r="G2207" s="3">
        <v>162</v>
      </c>
    </row>
    <row r="2208" spans="1:7" ht="14.25">
      <c r="A2208" s="3" t="str">
        <f>T("81119756")</f>
        <v>81119756</v>
      </c>
      <c r="B2208" s="14" t="s">
        <v>8631</v>
      </c>
      <c r="C2208" s="3" t="s">
        <v>2209</v>
      </c>
      <c r="D2208" s="3" t="str">
        <f>T("聶震寧")</f>
        <v>聶震寧</v>
      </c>
      <c r="E2208" s="3" t="str">
        <f>T("首都師大")</f>
        <v>首都師大</v>
      </c>
      <c r="F2208" s="3">
        <v>40</v>
      </c>
      <c r="G2208" s="3">
        <v>240</v>
      </c>
    </row>
    <row r="2209" spans="1:7" ht="14.25">
      <c r="A2209" s="3" t="str">
        <f>T("81119829")</f>
        <v>81119829</v>
      </c>
      <c r="B2209" s="14" t="s">
        <v>8634</v>
      </c>
      <c r="C2209" s="3" t="s">
        <v>2210</v>
      </c>
      <c r="D2209" s="3" t="str">
        <f>T("易鑫鼎")</f>
        <v>易鑫鼎</v>
      </c>
      <c r="E2209" s="3" t="str">
        <f>T("首都師大")</f>
        <v>首都師大</v>
      </c>
      <c r="F2209" s="3">
        <v>39</v>
      </c>
      <c r="G2209" s="3">
        <v>234</v>
      </c>
    </row>
    <row r="2210" spans="1:7" ht="14.25">
      <c r="A2210" s="3" t="str">
        <f>T("81119840")</f>
        <v>81119840</v>
      </c>
      <c r="B2210" s="14" t="s">
        <v>8637</v>
      </c>
      <c r="C2210" s="3" t="s">
        <v>2211</v>
      </c>
      <c r="D2210" s="3" t="str">
        <f>T("石仲泉")</f>
        <v>石仲泉</v>
      </c>
      <c r="E2210" s="3" t="str">
        <f>T("首都師大")</f>
        <v>首都師大</v>
      </c>
      <c r="F2210" s="3">
        <v>68</v>
      </c>
      <c r="G2210" s="3">
        <v>408</v>
      </c>
    </row>
    <row r="2211" spans="1:7" ht="14.25">
      <c r="A2211" s="3" t="str">
        <f>T("81119858")</f>
        <v>81119858</v>
      </c>
      <c r="B2211" s="14" t="s">
        <v>8640</v>
      </c>
      <c r="C2211" s="3" t="s">
        <v>2212</v>
      </c>
      <c r="D2211" s="3" t="str">
        <f>T("錢端升")</f>
        <v>錢端升</v>
      </c>
      <c r="E2211" s="3" t="str">
        <f>T("首都師大")</f>
        <v>首都師大</v>
      </c>
      <c r="F2211" s="3">
        <v>75</v>
      </c>
      <c r="G2211" s="3">
        <v>450</v>
      </c>
    </row>
    <row r="2212" spans="1:7" ht="14.25">
      <c r="A2212" s="3" t="str">
        <f>T("81124877")</f>
        <v>81124877</v>
      </c>
      <c r="B2212" s="14" t="e">
        <v>#N/A</v>
      </c>
      <c r="C2212" s="3" t="s">
        <v>2213</v>
      </c>
      <c r="D2212" s="3" t="str">
        <f>T("蘇小和")</f>
        <v>蘇小和</v>
      </c>
      <c r="E2212" s="3" t="str">
        <f>T("北京航大")</f>
        <v>北京航大</v>
      </c>
      <c r="F2212" s="3">
        <v>32</v>
      </c>
      <c r="G2212" s="3">
        <v>192</v>
      </c>
    </row>
    <row r="2213" spans="1:7" ht="14.25">
      <c r="A2213" s="3" t="str">
        <f>T("81127167")</f>
        <v>81127167</v>
      </c>
      <c r="B2213" s="14" t="s">
        <v>8646</v>
      </c>
      <c r="C2213" s="3" t="s">
        <v>2214</v>
      </c>
      <c r="D2213" s="3" t="str">
        <f>T("王昕")</f>
        <v>王昕</v>
      </c>
      <c r="E2213" s="3" t="str">
        <f>T("傳媒大學")</f>
        <v>傳媒大學</v>
      </c>
      <c r="F2213" s="3">
        <v>29.8</v>
      </c>
      <c r="G2213" s="3">
        <v>179</v>
      </c>
    </row>
    <row r="2214" spans="1:7" ht="14.25">
      <c r="A2214" s="3" t="str">
        <f>T("81127685")</f>
        <v>81127685</v>
      </c>
      <c r="B2214" s="14" t="s">
        <v>8649</v>
      </c>
      <c r="C2214" s="3" t="s">
        <v>2215</v>
      </c>
      <c r="D2214" s="3" t="str">
        <f>T("徐文凱")</f>
        <v>徐文凱</v>
      </c>
      <c r="E2214" s="3" t="str">
        <f>T("中國傳媒")</f>
        <v>中國傳媒</v>
      </c>
      <c r="F2214" s="3">
        <v>45</v>
      </c>
      <c r="G2214" s="3">
        <v>270</v>
      </c>
    </row>
    <row r="2215" spans="1:7" ht="14.25">
      <c r="A2215" s="3" t="str">
        <f>T("81127687")</f>
        <v>81127687</v>
      </c>
      <c r="B2215" s="14" t="s">
        <v>8653</v>
      </c>
      <c r="C2215" s="3" t="s">
        <v>2216</v>
      </c>
      <c r="D2215" s="3" t="str">
        <f>T("李彙群")</f>
        <v>李彙群</v>
      </c>
      <c r="E2215" s="3" t="str">
        <f>T("中國傳媒")</f>
        <v>中國傳媒</v>
      </c>
      <c r="F2215" s="3">
        <v>45</v>
      </c>
      <c r="G2215" s="3">
        <v>270</v>
      </c>
    </row>
    <row r="2216" spans="1:7" ht="14.25">
      <c r="A2216" s="3" t="str">
        <f>T("81127765")</f>
        <v>81127765</v>
      </c>
      <c r="B2216" s="14" t="s">
        <v>8656</v>
      </c>
      <c r="C2216" s="3" t="s">
        <v>2217</v>
      </c>
      <c r="D2216" s="3" t="str">
        <f>T("朱萍")</f>
        <v>朱萍</v>
      </c>
      <c r="E2216" s="3" t="str">
        <f>T("中國傳媒")</f>
        <v>中國傳媒</v>
      </c>
      <c r="F2216" s="3">
        <v>39</v>
      </c>
      <c r="G2216" s="3">
        <v>234</v>
      </c>
    </row>
    <row r="2217" spans="1:7" ht="14.25">
      <c r="A2217" s="3" t="str">
        <f>T("81135586")</f>
        <v>81135586</v>
      </c>
      <c r="B2217" s="14" t="s">
        <v>8659</v>
      </c>
      <c r="C2217" s="3" t="s">
        <v>2218</v>
      </c>
      <c r="D2217" s="3" t="str">
        <f>T("王大燕")</f>
        <v>王大燕</v>
      </c>
      <c r="E2217" s="3" t="str">
        <f>T("暨南大學")</f>
        <v>暨南大學</v>
      </c>
      <c r="F2217" s="3">
        <v>32</v>
      </c>
      <c r="G2217" s="3">
        <v>192</v>
      </c>
    </row>
    <row r="2218" spans="1:7" ht="14.25">
      <c r="A2218" s="3" t="str">
        <f>T("886204661")</f>
        <v>886204661</v>
      </c>
      <c r="B2218" s="14" t="s">
        <v>8663</v>
      </c>
      <c r="C2218" s="3" t="s">
        <v>2219</v>
      </c>
      <c r="D2218" s="3">
        <f>T("")</f>
      </c>
      <c r="E2218" s="3" t="str">
        <f>T("新疆音像")</f>
        <v>新疆音像</v>
      </c>
      <c r="F2218" s="3">
        <v>0</v>
      </c>
      <c r="G2218" s="3">
        <v>0</v>
      </c>
    </row>
    <row r="2219" spans="1:7" ht="14.25">
      <c r="A2219" s="3" t="str">
        <f>T("88620478")</f>
        <v>88620478</v>
      </c>
      <c r="B2219" s="14" t="s">
        <v>8666</v>
      </c>
      <c r="C2219" s="3" t="s">
        <v>2220</v>
      </c>
      <c r="D2219" s="3">
        <f>T("")</f>
      </c>
      <c r="E2219" s="3" t="str">
        <f>T("新疆音像")</f>
        <v>新疆音像</v>
      </c>
      <c r="F2219" s="3">
        <v>0</v>
      </c>
      <c r="G2219" s="3">
        <v>500</v>
      </c>
    </row>
    <row r="2220" spans="1:7" ht="14.25">
      <c r="A2220" s="3" t="str">
        <f>T("88620720")</f>
        <v>88620720</v>
      </c>
      <c r="B2220" s="14" t="s">
        <v>8668</v>
      </c>
      <c r="C2220" s="3" t="s">
        <v>2221</v>
      </c>
      <c r="D2220" s="3">
        <f>T("")</f>
      </c>
      <c r="E2220" s="3" t="str">
        <f>T("新疆音像")</f>
        <v>新疆音像</v>
      </c>
      <c r="F2220" s="3">
        <v>0</v>
      </c>
      <c r="G2220" s="3"/>
    </row>
    <row r="2221" spans="1:7" ht="14.25">
      <c r="A2221" s="3" t="str">
        <f>T("88620745")</f>
        <v>88620745</v>
      </c>
      <c r="B2221" s="14" t="s">
        <v>8670</v>
      </c>
      <c r="C2221" s="3" t="s">
        <v>2222</v>
      </c>
      <c r="D2221" s="3">
        <f>T("")</f>
      </c>
      <c r="E2221" s="3" t="str">
        <f>T("新疆音像")</f>
        <v>新疆音像</v>
      </c>
      <c r="F2221" s="3">
        <v>0</v>
      </c>
      <c r="G2221" s="3">
        <v>0</v>
      </c>
    </row>
    <row r="2222" spans="1:7" ht="14.25">
      <c r="A2222" s="3" t="str">
        <f>T("88620747")</f>
        <v>88620747</v>
      </c>
      <c r="B2222" s="14" t="s">
        <v>8672</v>
      </c>
      <c r="C2222" s="3" t="s">
        <v>2223</v>
      </c>
      <c r="D2222" s="3" t="str">
        <f>T("未建檔")</f>
        <v>未建檔</v>
      </c>
      <c r="E2222" s="3" t="str">
        <f>T("新疆音像")</f>
        <v>新疆音像</v>
      </c>
      <c r="F2222" s="3">
        <v>2860</v>
      </c>
      <c r="G2222" s="3">
        <v>17160</v>
      </c>
    </row>
    <row r="2223" spans="1:7" ht="14.25">
      <c r="A2223" s="3" t="str">
        <f>T("88620754")</f>
        <v>88620754</v>
      </c>
      <c r="B2223" s="14" t="s">
        <v>8674</v>
      </c>
      <c r="C2223" s="3" t="s">
        <v>2224</v>
      </c>
      <c r="D2223" s="3">
        <f>T("")</f>
      </c>
      <c r="E2223" s="3" t="str">
        <f>T("新疆音像")</f>
        <v>新疆音像</v>
      </c>
      <c r="F2223" s="3">
        <v>0</v>
      </c>
      <c r="G2223" s="3">
        <v>0</v>
      </c>
    </row>
    <row r="2224" spans="1:7" ht="14.25">
      <c r="A2224" s="3" t="str">
        <f>T("88620823")</f>
        <v>88620823</v>
      </c>
      <c r="B2224" s="14" t="s">
        <v>8676</v>
      </c>
      <c r="C2224" s="3" t="s">
        <v>2225</v>
      </c>
      <c r="D2224" s="3">
        <f>T("")</f>
      </c>
      <c r="E2224" s="3" t="str">
        <f>T("新疆音像")</f>
        <v>新疆音像</v>
      </c>
      <c r="F2224" s="3">
        <v>268</v>
      </c>
      <c r="G2224" s="3">
        <v>1608</v>
      </c>
    </row>
    <row r="2225" spans="1:7" ht="14.25">
      <c r="A2225" s="3" t="str">
        <f>T("88620849")</f>
        <v>88620849</v>
      </c>
      <c r="B2225" s="14" t="s">
        <v>8678</v>
      </c>
      <c r="C2225" s="3" t="s">
        <v>2226</v>
      </c>
      <c r="D2225" s="3">
        <f>T("")</f>
      </c>
      <c r="E2225" s="3" t="str">
        <f>T("新疆音像")</f>
        <v>新疆音像</v>
      </c>
      <c r="F2225" s="3">
        <v>0</v>
      </c>
      <c r="G2225" s="3">
        <v>0</v>
      </c>
    </row>
    <row r="2226" spans="1:7" ht="14.25">
      <c r="A2226" s="3" t="str">
        <f>T("88622098")</f>
        <v>88622098</v>
      </c>
      <c r="B2226" s="14" t="s">
        <v>8680</v>
      </c>
      <c r="C2226" s="3" t="s">
        <v>2227</v>
      </c>
      <c r="D2226" s="3" t="str">
        <f>T("未建檔")</f>
        <v>未建檔</v>
      </c>
      <c r="E2226" s="3" t="str">
        <f>T("新疆音像")</f>
        <v>新疆音像</v>
      </c>
      <c r="F2226" s="3">
        <v>15</v>
      </c>
      <c r="G2226" s="3">
        <v>90</v>
      </c>
    </row>
    <row r="2227" spans="1:7" ht="14.25">
      <c r="A2227" s="3" t="str">
        <f>T("88622180")</f>
        <v>88622180</v>
      </c>
      <c r="B2227" s="14" t="s">
        <v>8682</v>
      </c>
      <c r="C2227" s="3" t="s">
        <v>2228</v>
      </c>
      <c r="D2227" s="3" t="str">
        <f>T("未建檔")</f>
        <v>未建檔</v>
      </c>
      <c r="E2227" s="3" t="str">
        <f>T("新疆音像")</f>
        <v>新疆音像</v>
      </c>
      <c r="F2227" s="3">
        <v>68</v>
      </c>
      <c r="G2227" s="3">
        <v>408</v>
      </c>
    </row>
    <row r="2228" spans="1:7" ht="14.25">
      <c r="A2228" s="3" t="str">
        <f>T("90042491")</f>
        <v>90042491</v>
      </c>
      <c r="B2228" s="14" t="s">
        <v>8684</v>
      </c>
      <c r="C2228" s="3" t="s">
        <v>2229</v>
      </c>
      <c r="D2228" s="3" t="str">
        <f>T("未建檔")</f>
        <v>未建檔</v>
      </c>
      <c r="E2228" s="3" t="str">
        <f>T("新疆音像")</f>
        <v>新疆音像</v>
      </c>
      <c r="F2228" s="3">
        <v>28</v>
      </c>
      <c r="G2228" s="3">
        <v>168</v>
      </c>
    </row>
    <row r="2229" spans="1:7" ht="14.25">
      <c r="A2229" s="3" t="str">
        <f>T("90042497")</f>
        <v>90042497</v>
      </c>
      <c r="B2229" s="14" t="s">
        <v>8686</v>
      </c>
      <c r="C2229" s="3" t="s">
        <v>2230</v>
      </c>
      <c r="D2229" s="3" t="str">
        <f>T("未建檔")</f>
        <v>未建檔</v>
      </c>
      <c r="E2229" s="3" t="str">
        <f>T("新疆音像")</f>
        <v>新疆音像</v>
      </c>
      <c r="F2229" s="3">
        <v>38</v>
      </c>
      <c r="G2229" s="3">
        <v>228</v>
      </c>
    </row>
  </sheetData>
  <sheetProtection/>
  <printOptions/>
  <pageMargins left="0.7" right="0.7" top="0.75" bottom="0.75" header="0.3" footer="0.3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8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1" width="8.625" style="0" bestFit="1" customWidth="1"/>
    <col min="2" max="2" width="11.875" style="0" bestFit="1" customWidth="1"/>
    <col min="3" max="3" width="35.625" style="0" customWidth="1"/>
    <col min="4" max="4" width="24.00390625" style="0" customWidth="1"/>
    <col min="5" max="5" width="9.625" style="0" bestFit="1" customWidth="1"/>
    <col min="6" max="6" width="6.375" style="0" bestFit="1" customWidth="1"/>
    <col min="7" max="7" width="6.00390625" style="0" bestFit="1" customWidth="1"/>
  </cols>
  <sheetData>
    <row r="1" spans="1:7" ht="17.25" thickBot="1">
      <c r="A1" s="4" t="s">
        <v>2231</v>
      </c>
      <c r="B1" s="9"/>
      <c r="C1" s="4" t="s">
        <v>2232</v>
      </c>
      <c r="D1" s="4" t="s">
        <v>2233</v>
      </c>
      <c r="E1" s="8" t="s">
        <v>1</v>
      </c>
      <c r="F1" s="8" t="s">
        <v>2234</v>
      </c>
      <c r="G1" s="8" t="s">
        <v>0</v>
      </c>
    </row>
    <row r="2" spans="1:7" ht="17.25" thickTop="1">
      <c r="A2" s="7" t="s">
        <v>2235</v>
      </c>
      <c r="B2" s="10" t="s">
        <v>2236</v>
      </c>
      <c r="C2" s="7" t="s">
        <v>12</v>
      </c>
      <c r="D2" s="7" t="s">
        <v>2236</v>
      </c>
      <c r="E2" s="7" t="s">
        <v>2236</v>
      </c>
      <c r="F2" s="7">
        <v>12</v>
      </c>
      <c r="G2" s="7">
        <v>72</v>
      </c>
    </row>
    <row r="3" spans="1:7" ht="16.5">
      <c r="A3" s="5" t="s">
        <v>2237</v>
      </c>
      <c r="B3" s="10" t="s">
        <v>2236</v>
      </c>
      <c r="C3" s="5" t="s">
        <v>13</v>
      </c>
      <c r="D3" s="5" t="s">
        <v>2236</v>
      </c>
      <c r="E3" s="5" t="s">
        <v>2236</v>
      </c>
      <c r="F3" s="5">
        <v>12</v>
      </c>
      <c r="G3" s="5">
        <v>72</v>
      </c>
    </row>
    <row r="4" spans="1:7" ht="16.5">
      <c r="A4" s="5" t="s">
        <v>2238</v>
      </c>
      <c r="B4" s="10" t="s">
        <v>2236</v>
      </c>
      <c r="C4" s="5" t="s">
        <v>14</v>
      </c>
      <c r="D4" s="5" t="s">
        <v>2236</v>
      </c>
      <c r="E4" s="5" t="s">
        <v>2236</v>
      </c>
      <c r="F4" s="5">
        <v>12</v>
      </c>
      <c r="G4" s="5">
        <v>72</v>
      </c>
    </row>
    <row r="5" spans="1:7" ht="16.5">
      <c r="A5" s="5" t="s">
        <v>2239</v>
      </c>
      <c r="B5" s="10" t="s">
        <v>2240</v>
      </c>
      <c r="C5" s="5" t="s">
        <v>15</v>
      </c>
      <c r="D5" s="5" t="s">
        <v>2241</v>
      </c>
      <c r="E5" s="5" t="s">
        <v>2242</v>
      </c>
      <c r="F5" s="5">
        <v>48</v>
      </c>
      <c r="G5" s="5">
        <v>288</v>
      </c>
    </row>
    <row r="6" spans="1:7" ht="16.5">
      <c r="A6" s="5" t="s">
        <v>2243</v>
      </c>
      <c r="B6" s="10" t="s">
        <v>2244</v>
      </c>
      <c r="C6" s="5" t="s">
        <v>16</v>
      </c>
      <c r="D6" s="5" t="s">
        <v>2245</v>
      </c>
      <c r="E6" s="5" t="s">
        <v>2246</v>
      </c>
      <c r="F6" s="5">
        <v>38</v>
      </c>
      <c r="G6" s="5">
        <v>228</v>
      </c>
    </row>
    <row r="7" spans="1:7" ht="16.5">
      <c r="A7" s="5" t="s">
        <v>2247</v>
      </c>
      <c r="B7" s="10" t="s">
        <v>2248</v>
      </c>
      <c r="C7" s="5" t="s">
        <v>17</v>
      </c>
      <c r="D7" s="5" t="s">
        <v>2249</v>
      </c>
      <c r="E7" s="5" t="s">
        <v>2242</v>
      </c>
      <c r="F7" s="5">
        <v>39</v>
      </c>
      <c r="G7" s="5">
        <v>228</v>
      </c>
    </row>
    <row r="8" spans="1:7" ht="16.5">
      <c r="A8" s="5" t="s">
        <v>2250</v>
      </c>
      <c r="B8" s="10" t="s">
        <v>2251</v>
      </c>
      <c r="C8" s="5" t="s">
        <v>18</v>
      </c>
      <c r="D8" s="5" t="s">
        <v>2252</v>
      </c>
      <c r="E8" s="5" t="s">
        <v>2242</v>
      </c>
      <c r="F8" s="5">
        <v>70</v>
      </c>
      <c r="G8" s="5">
        <v>420</v>
      </c>
    </row>
    <row r="9" spans="1:7" ht="16.5">
      <c r="A9" s="5" t="s">
        <v>2253</v>
      </c>
      <c r="B9" s="12">
        <v>9787010069494</v>
      </c>
      <c r="C9" s="5" t="s">
        <v>19</v>
      </c>
      <c r="D9" s="5" t="s">
        <v>2254</v>
      </c>
      <c r="E9" s="5" t="s">
        <v>2242</v>
      </c>
      <c r="F9" s="5">
        <v>48</v>
      </c>
      <c r="G9" s="5">
        <v>288</v>
      </c>
    </row>
    <row r="10" spans="1:7" ht="16.5">
      <c r="A10" s="5" t="s">
        <v>2255</v>
      </c>
      <c r="B10" s="10" t="s">
        <v>2256</v>
      </c>
      <c r="C10" s="5" t="s">
        <v>20</v>
      </c>
      <c r="D10" s="5" t="s">
        <v>2257</v>
      </c>
      <c r="E10" s="5" t="s">
        <v>2242</v>
      </c>
      <c r="F10" s="5">
        <v>38</v>
      </c>
      <c r="G10" s="5">
        <v>228</v>
      </c>
    </row>
    <row r="11" spans="1:7" ht="16.5">
      <c r="A11" s="5" t="s">
        <v>2258</v>
      </c>
      <c r="B11" s="10" t="s">
        <v>2259</v>
      </c>
      <c r="C11" s="5" t="s">
        <v>21</v>
      </c>
      <c r="D11" s="5" t="s">
        <v>2260</v>
      </c>
      <c r="E11" s="5" t="s">
        <v>2242</v>
      </c>
      <c r="F11" s="5">
        <v>39</v>
      </c>
      <c r="G11" s="5">
        <v>234</v>
      </c>
    </row>
    <row r="12" spans="1:7" ht="16.5">
      <c r="A12" s="5" t="s">
        <v>2261</v>
      </c>
      <c r="B12" s="10" t="s">
        <v>2262</v>
      </c>
      <c r="C12" s="5" t="s">
        <v>22</v>
      </c>
      <c r="D12" s="5" t="s">
        <v>2263</v>
      </c>
      <c r="E12" s="5" t="s">
        <v>2242</v>
      </c>
      <c r="F12" s="5">
        <v>26</v>
      </c>
      <c r="G12" s="5">
        <v>156</v>
      </c>
    </row>
    <row r="13" spans="1:7" ht="16.5">
      <c r="A13" s="5" t="s">
        <v>2264</v>
      </c>
      <c r="B13" s="10" t="s">
        <v>2265</v>
      </c>
      <c r="C13" s="5" t="s">
        <v>23</v>
      </c>
      <c r="D13" s="5" t="s">
        <v>2266</v>
      </c>
      <c r="E13" s="5" t="s">
        <v>2242</v>
      </c>
      <c r="F13" s="5">
        <v>48</v>
      </c>
      <c r="G13" s="5">
        <v>288</v>
      </c>
    </row>
    <row r="14" spans="1:7" ht="16.5">
      <c r="A14" s="5" t="s">
        <v>2267</v>
      </c>
      <c r="B14" s="10" t="s">
        <v>2268</v>
      </c>
      <c r="C14" s="5" t="s">
        <v>24</v>
      </c>
      <c r="D14" s="5" t="s">
        <v>2269</v>
      </c>
      <c r="E14" s="5" t="s">
        <v>2242</v>
      </c>
      <c r="F14" s="5">
        <v>39</v>
      </c>
      <c r="G14" s="5">
        <v>234</v>
      </c>
    </row>
    <row r="15" spans="1:7" ht="16.5">
      <c r="A15" s="5" t="s">
        <v>2270</v>
      </c>
      <c r="B15" s="10" t="s">
        <v>2271</v>
      </c>
      <c r="C15" s="5" t="s">
        <v>25</v>
      </c>
      <c r="D15" s="5" t="s">
        <v>2272</v>
      </c>
      <c r="E15" s="5" t="s">
        <v>2242</v>
      </c>
      <c r="F15" s="5">
        <v>36</v>
      </c>
      <c r="G15" s="5">
        <v>216</v>
      </c>
    </row>
    <row r="16" spans="1:7" ht="16.5">
      <c r="A16" s="5" t="s">
        <v>2273</v>
      </c>
      <c r="B16" s="10" t="s">
        <v>2274</v>
      </c>
      <c r="C16" s="5" t="s">
        <v>26</v>
      </c>
      <c r="D16" s="5" t="s">
        <v>2275</v>
      </c>
      <c r="E16" s="5" t="s">
        <v>2242</v>
      </c>
      <c r="F16" s="5">
        <v>55</v>
      </c>
      <c r="G16" s="5">
        <v>330</v>
      </c>
    </row>
    <row r="17" spans="1:7" ht="16.5">
      <c r="A17" s="5" t="s">
        <v>2276</v>
      </c>
      <c r="B17" s="10" t="s">
        <v>2277</v>
      </c>
      <c r="C17" s="5" t="s">
        <v>27</v>
      </c>
      <c r="D17" s="5" t="s">
        <v>2278</v>
      </c>
      <c r="E17" s="5" t="s">
        <v>2242</v>
      </c>
      <c r="F17" s="5">
        <v>60</v>
      </c>
      <c r="G17" s="5">
        <v>360</v>
      </c>
    </row>
    <row r="18" spans="1:7" ht="16.5">
      <c r="A18" s="5" t="s">
        <v>2279</v>
      </c>
      <c r="B18" s="10" t="s">
        <v>2280</v>
      </c>
      <c r="C18" s="5" t="s">
        <v>28</v>
      </c>
      <c r="D18" s="5" t="s">
        <v>2281</v>
      </c>
      <c r="E18" s="5" t="s">
        <v>2242</v>
      </c>
      <c r="F18" s="5">
        <v>49.8</v>
      </c>
      <c r="G18" s="5">
        <v>299</v>
      </c>
    </row>
    <row r="19" spans="1:7" ht="16.5">
      <c r="A19" s="5" t="s">
        <v>2282</v>
      </c>
      <c r="B19" s="10" t="s">
        <v>2283</v>
      </c>
      <c r="C19" s="5" t="s">
        <v>29</v>
      </c>
      <c r="D19" s="5" t="s">
        <v>2284</v>
      </c>
      <c r="E19" s="5" t="s">
        <v>2242</v>
      </c>
      <c r="F19" s="5">
        <v>48</v>
      </c>
      <c r="G19" s="5">
        <v>288</v>
      </c>
    </row>
    <row r="20" spans="1:7" ht="16.5">
      <c r="A20" s="5" t="s">
        <v>2285</v>
      </c>
      <c r="B20" s="10" t="s">
        <v>2286</v>
      </c>
      <c r="C20" s="5" t="s">
        <v>10</v>
      </c>
      <c r="D20" s="5" t="s">
        <v>2287</v>
      </c>
      <c r="E20" s="5" t="s">
        <v>2242</v>
      </c>
      <c r="F20" s="5">
        <v>23</v>
      </c>
      <c r="G20" s="5">
        <v>138</v>
      </c>
    </row>
    <row r="21" spans="1:7" ht="16.5">
      <c r="A21" s="5" t="s">
        <v>2288</v>
      </c>
      <c r="B21" s="10" t="s">
        <v>2289</v>
      </c>
      <c r="C21" s="5" t="s">
        <v>30</v>
      </c>
      <c r="D21" s="5" t="s">
        <v>2290</v>
      </c>
      <c r="E21" s="5" t="s">
        <v>2242</v>
      </c>
      <c r="F21" s="5">
        <v>45</v>
      </c>
      <c r="G21" s="5">
        <v>270</v>
      </c>
    </row>
    <row r="22" spans="1:7" ht="16.5">
      <c r="A22" s="5" t="s">
        <v>2291</v>
      </c>
      <c r="B22" s="10" t="s">
        <v>2292</v>
      </c>
      <c r="C22" s="5" t="s">
        <v>8</v>
      </c>
      <c r="D22" s="5" t="s">
        <v>2293</v>
      </c>
      <c r="E22" s="5" t="s">
        <v>2242</v>
      </c>
      <c r="F22" s="5">
        <v>39</v>
      </c>
      <c r="G22" s="5">
        <v>234</v>
      </c>
    </row>
    <row r="23" spans="1:7" ht="16.5">
      <c r="A23" s="5" t="s">
        <v>2294</v>
      </c>
      <c r="B23" s="10" t="s">
        <v>2295</v>
      </c>
      <c r="C23" s="5" t="s">
        <v>31</v>
      </c>
      <c r="D23" s="5" t="s">
        <v>2296</v>
      </c>
      <c r="E23" s="5" t="s">
        <v>2297</v>
      </c>
      <c r="F23" s="5">
        <v>90</v>
      </c>
      <c r="G23" s="5">
        <v>540</v>
      </c>
    </row>
    <row r="24" spans="1:7" ht="16.5">
      <c r="A24" s="5" t="s">
        <v>2298</v>
      </c>
      <c r="B24" s="10" t="s">
        <v>2299</v>
      </c>
      <c r="C24" s="5" t="s">
        <v>32</v>
      </c>
      <c r="D24" s="5" t="s">
        <v>2300</v>
      </c>
      <c r="E24" s="5" t="s">
        <v>2242</v>
      </c>
      <c r="F24" s="5">
        <v>26</v>
      </c>
      <c r="G24" s="5">
        <v>156</v>
      </c>
    </row>
    <row r="25" spans="1:7" ht="16.5">
      <c r="A25" s="5" t="s">
        <v>2301</v>
      </c>
      <c r="B25" s="10" t="s">
        <v>2302</v>
      </c>
      <c r="C25" s="5" t="s">
        <v>33</v>
      </c>
      <c r="D25" s="5" t="s">
        <v>2303</v>
      </c>
      <c r="E25" s="5" t="s">
        <v>2242</v>
      </c>
      <c r="F25" s="5">
        <v>14</v>
      </c>
      <c r="G25" s="5">
        <v>84</v>
      </c>
    </row>
    <row r="26" spans="1:7" ht="16.5">
      <c r="A26" s="5" t="s">
        <v>2304</v>
      </c>
      <c r="B26" s="10" t="s">
        <v>2305</v>
      </c>
      <c r="C26" s="5" t="s">
        <v>34</v>
      </c>
      <c r="D26" s="5" t="s">
        <v>2306</v>
      </c>
      <c r="E26" s="5" t="s">
        <v>2242</v>
      </c>
      <c r="F26" s="5">
        <v>21</v>
      </c>
      <c r="G26" s="5">
        <v>126</v>
      </c>
    </row>
    <row r="27" spans="1:7" ht="16.5">
      <c r="A27" s="5" t="s">
        <v>2307</v>
      </c>
      <c r="B27" s="10" t="s">
        <v>2308</v>
      </c>
      <c r="C27" s="5" t="s">
        <v>35</v>
      </c>
      <c r="D27" s="5" t="s">
        <v>2309</v>
      </c>
      <c r="E27" s="5" t="s">
        <v>2242</v>
      </c>
      <c r="F27" s="5">
        <v>30</v>
      </c>
      <c r="G27" s="5">
        <v>180</v>
      </c>
    </row>
    <row r="28" spans="1:7" ht="16.5">
      <c r="A28" s="5" t="s">
        <v>2310</v>
      </c>
      <c r="B28" s="10" t="s">
        <v>2311</v>
      </c>
      <c r="C28" s="5" t="s">
        <v>36</v>
      </c>
      <c r="D28" s="5" t="s">
        <v>2312</v>
      </c>
      <c r="E28" s="5" t="s">
        <v>2242</v>
      </c>
      <c r="F28" s="5">
        <v>19.8</v>
      </c>
      <c r="G28" s="5">
        <v>119</v>
      </c>
    </row>
    <row r="29" spans="1:7" ht="16.5">
      <c r="A29" s="5" t="s">
        <v>2313</v>
      </c>
      <c r="B29" s="10" t="s">
        <v>2314</v>
      </c>
      <c r="C29" s="5" t="s">
        <v>37</v>
      </c>
      <c r="D29" s="5" t="s">
        <v>2315</v>
      </c>
      <c r="E29" s="5" t="s">
        <v>2242</v>
      </c>
      <c r="F29" s="5">
        <v>21</v>
      </c>
      <c r="G29" s="5">
        <v>126</v>
      </c>
    </row>
    <row r="30" spans="1:7" ht="16.5">
      <c r="A30" s="5" t="s">
        <v>2316</v>
      </c>
      <c r="B30" s="10" t="s">
        <v>2317</v>
      </c>
      <c r="C30" s="5" t="s">
        <v>38</v>
      </c>
      <c r="D30" s="5" t="s">
        <v>2318</v>
      </c>
      <c r="E30" s="5" t="s">
        <v>2242</v>
      </c>
      <c r="F30" s="5">
        <v>15</v>
      </c>
      <c r="G30" s="5">
        <v>90</v>
      </c>
    </row>
    <row r="31" spans="1:7" ht="16.5">
      <c r="A31" s="5" t="s">
        <v>2319</v>
      </c>
      <c r="B31" s="10" t="s">
        <v>2320</v>
      </c>
      <c r="C31" s="5" t="s">
        <v>39</v>
      </c>
      <c r="D31" s="5" t="s">
        <v>2318</v>
      </c>
      <c r="E31" s="5" t="s">
        <v>2242</v>
      </c>
      <c r="F31" s="5">
        <v>14</v>
      </c>
      <c r="G31" s="5">
        <v>84</v>
      </c>
    </row>
    <row r="32" spans="1:7" ht="16.5">
      <c r="A32" s="5" t="s">
        <v>2321</v>
      </c>
      <c r="B32" s="10" t="s">
        <v>2322</v>
      </c>
      <c r="C32" s="5" t="s">
        <v>40</v>
      </c>
      <c r="D32" s="5" t="s">
        <v>2323</v>
      </c>
      <c r="E32" s="5" t="s">
        <v>2242</v>
      </c>
      <c r="F32" s="5">
        <v>19</v>
      </c>
      <c r="G32" s="5">
        <v>114</v>
      </c>
    </row>
    <row r="33" spans="1:7" ht="16.5">
      <c r="A33" s="5" t="s">
        <v>2324</v>
      </c>
      <c r="B33" s="10" t="s">
        <v>2325</v>
      </c>
      <c r="C33" s="5" t="s">
        <v>41</v>
      </c>
      <c r="D33" s="5" t="s">
        <v>2326</v>
      </c>
      <c r="E33" s="5" t="s">
        <v>2242</v>
      </c>
      <c r="F33" s="5">
        <v>18</v>
      </c>
      <c r="G33" s="5">
        <v>108</v>
      </c>
    </row>
    <row r="34" spans="1:7" ht="16.5">
      <c r="A34" s="5" t="s">
        <v>2327</v>
      </c>
      <c r="B34" s="10" t="s">
        <v>2328</v>
      </c>
      <c r="C34" s="5" t="s">
        <v>42</v>
      </c>
      <c r="D34" s="5" t="s">
        <v>2329</v>
      </c>
      <c r="E34" s="5" t="s">
        <v>2242</v>
      </c>
      <c r="F34" s="5">
        <v>26</v>
      </c>
      <c r="G34" s="5">
        <v>156</v>
      </c>
    </row>
    <row r="35" spans="1:7" ht="16.5">
      <c r="A35" s="5" t="s">
        <v>2330</v>
      </c>
      <c r="B35" s="10" t="s">
        <v>2331</v>
      </c>
      <c r="C35" s="5" t="s">
        <v>43</v>
      </c>
      <c r="D35" s="5" t="s">
        <v>2332</v>
      </c>
      <c r="E35" s="5" t="s">
        <v>2242</v>
      </c>
      <c r="F35" s="5">
        <v>24</v>
      </c>
      <c r="G35" s="5">
        <v>144</v>
      </c>
    </row>
    <row r="36" spans="1:7" ht="16.5">
      <c r="A36" s="5" t="s">
        <v>2333</v>
      </c>
      <c r="B36" s="10" t="s">
        <v>2334</v>
      </c>
      <c r="C36" s="5" t="s">
        <v>44</v>
      </c>
      <c r="D36" s="5" t="s">
        <v>2315</v>
      </c>
      <c r="E36" s="5" t="s">
        <v>2242</v>
      </c>
      <c r="F36" s="5">
        <v>20</v>
      </c>
      <c r="G36" s="5">
        <v>120</v>
      </c>
    </row>
    <row r="37" spans="1:7" ht="16.5">
      <c r="A37" s="5" t="s">
        <v>2335</v>
      </c>
      <c r="B37" s="10" t="s">
        <v>2336</v>
      </c>
      <c r="C37" s="5" t="s">
        <v>45</v>
      </c>
      <c r="D37" s="5" t="s">
        <v>2337</v>
      </c>
      <c r="E37" s="5" t="s">
        <v>2242</v>
      </c>
      <c r="F37" s="5">
        <v>29</v>
      </c>
      <c r="G37" s="5">
        <v>174</v>
      </c>
    </row>
    <row r="38" spans="1:7" ht="16.5">
      <c r="A38" s="5" t="s">
        <v>2338</v>
      </c>
      <c r="B38" s="10" t="s">
        <v>2339</v>
      </c>
      <c r="C38" s="5" t="s">
        <v>46</v>
      </c>
      <c r="D38" s="5" t="s">
        <v>2340</v>
      </c>
      <c r="E38" s="5" t="s">
        <v>2242</v>
      </c>
      <c r="F38" s="5">
        <v>25</v>
      </c>
      <c r="G38" s="5">
        <v>150</v>
      </c>
    </row>
    <row r="39" spans="1:7" ht="16.5">
      <c r="A39" s="5" t="s">
        <v>2341</v>
      </c>
      <c r="B39" s="10" t="s">
        <v>2342</v>
      </c>
      <c r="C39" s="5" t="s">
        <v>47</v>
      </c>
      <c r="D39" s="5" t="s">
        <v>2343</v>
      </c>
      <c r="E39" s="5" t="s">
        <v>2242</v>
      </c>
      <c r="F39" s="5">
        <v>20</v>
      </c>
      <c r="G39" s="5">
        <v>120</v>
      </c>
    </row>
    <row r="40" spans="1:7" ht="16.5">
      <c r="A40" s="5" t="s">
        <v>2344</v>
      </c>
      <c r="B40" s="10" t="s">
        <v>2345</v>
      </c>
      <c r="C40" s="5" t="s">
        <v>48</v>
      </c>
      <c r="D40" s="5" t="s">
        <v>2346</v>
      </c>
      <c r="E40" s="5" t="s">
        <v>2236</v>
      </c>
      <c r="F40" s="5"/>
      <c r="G40" s="5">
        <v>245</v>
      </c>
    </row>
    <row r="41" spans="1:7" ht="16.5">
      <c r="A41" s="5" t="s">
        <v>2347</v>
      </c>
      <c r="B41" s="10" t="s">
        <v>2348</v>
      </c>
      <c r="C41" s="5" t="s">
        <v>49</v>
      </c>
      <c r="D41" s="5" t="s">
        <v>2349</v>
      </c>
      <c r="E41" s="5" t="s">
        <v>2242</v>
      </c>
      <c r="F41" s="5">
        <v>29</v>
      </c>
      <c r="G41" s="5">
        <v>174</v>
      </c>
    </row>
    <row r="42" spans="1:7" ht="16.5">
      <c r="A42" s="5" t="s">
        <v>2350</v>
      </c>
      <c r="B42" s="10" t="s">
        <v>2351</v>
      </c>
      <c r="C42" s="5" t="s">
        <v>50</v>
      </c>
      <c r="D42" s="5" t="s">
        <v>2352</v>
      </c>
      <c r="E42" s="5" t="s">
        <v>2242</v>
      </c>
      <c r="F42" s="5">
        <v>32</v>
      </c>
      <c r="G42" s="5">
        <v>192</v>
      </c>
    </row>
    <row r="43" spans="1:7" ht="16.5">
      <c r="A43" s="5" t="s">
        <v>2353</v>
      </c>
      <c r="B43" s="10" t="s">
        <v>2354</v>
      </c>
      <c r="C43" s="5" t="s">
        <v>51</v>
      </c>
      <c r="D43" s="5" t="s">
        <v>2355</v>
      </c>
      <c r="E43" s="5" t="s">
        <v>2242</v>
      </c>
      <c r="F43" s="5">
        <v>32</v>
      </c>
      <c r="G43" s="5">
        <v>192</v>
      </c>
    </row>
    <row r="44" spans="1:7" ht="16.5">
      <c r="A44" s="5" t="s">
        <v>2356</v>
      </c>
      <c r="B44" s="10" t="s">
        <v>2357</v>
      </c>
      <c r="C44" s="5" t="s">
        <v>52</v>
      </c>
      <c r="D44" s="5" t="s">
        <v>2358</v>
      </c>
      <c r="E44" s="5" t="s">
        <v>2242</v>
      </c>
      <c r="F44" s="5">
        <v>33</v>
      </c>
      <c r="G44" s="5">
        <v>198</v>
      </c>
    </row>
    <row r="45" spans="1:7" ht="16.5">
      <c r="A45" s="5" t="s">
        <v>2359</v>
      </c>
      <c r="B45" s="10" t="s">
        <v>2360</v>
      </c>
      <c r="C45" s="5" t="s">
        <v>53</v>
      </c>
      <c r="D45" s="5" t="s">
        <v>2361</v>
      </c>
      <c r="E45" s="5" t="s">
        <v>2242</v>
      </c>
      <c r="F45" s="5">
        <v>28</v>
      </c>
      <c r="G45" s="5">
        <v>162</v>
      </c>
    </row>
    <row r="46" spans="1:7" ht="16.5">
      <c r="A46" s="5" t="s">
        <v>2362</v>
      </c>
      <c r="B46" s="10" t="s">
        <v>2363</v>
      </c>
      <c r="C46" s="5" t="s">
        <v>54</v>
      </c>
      <c r="D46" s="5" t="s">
        <v>2364</v>
      </c>
      <c r="E46" s="5" t="s">
        <v>2242</v>
      </c>
      <c r="F46" s="5">
        <v>30</v>
      </c>
      <c r="G46" s="5">
        <v>180</v>
      </c>
    </row>
    <row r="47" spans="1:7" ht="16.5">
      <c r="A47" s="5" t="s">
        <v>2365</v>
      </c>
      <c r="B47" s="10" t="s">
        <v>2366</v>
      </c>
      <c r="C47" s="5" t="s">
        <v>55</v>
      </c>
      <c r="D47" s="5" t="s">
        <v>2367</v>
      </c>
      <c r="E47" s="5" t="s">
        <v>2242</v>
      </c>
      <c r="F47" s="5">
        <v>25</v>
      </c>
      <c r="G47" s="5">
        <v>150</v>
      </c>
    </row>
    <row r="48" spans="1:7" ht="16.5">
      <c r="A48" s="5" t="s">
        <v>2368</v>
      </c>
      <c r="B48" s="10" t="s">
        <v>2369</v>
      </c>
      <c r="C48" s="5" t="s">
        <v>56</v>
      </c>
      <c r="D48" s="5" t="s">
        <v>2370</v>
      </c>
      <c r="E48" s="5" t="s">
        <v>2242</v>
      </c>
      <c r="F48" s="5">
        <v>15</v>
      </c>
      <c r="G48" s="5">
        <v>90</v>
      </c>
    </row>
    <row r="49" spans="1:7" ht="16.5">
      <c r="A49" s="5" t="s">
        <v>2371</v>
      </c>
      <c r="B49" s="10" t="s">
        <v>2372</v>
      </c>
      <c r="C49" s="5" t="s">
        <v>57</v>
      </c>
      <c r="D49" s="5" t="s">
        <v>2373</v>
      </c>
      <c r="E49" s="5" t="s">
        <v>2242</v>
      </c>
      <c r="F49" s="5">
        <v>65</v>
      </c>
      <c r="G49" s="5">
        <v>390</v>
      </c>
    </row>
    <row r="50" spans="1:7" ht="16.5">
      <c r="A50" s="5" t="s">
        <v>2374</v>
      </c>
      <c r="B50" s="10" t="s">
        <v>2375</v>
      </c>
      <c r="C50" s="5" t="s">
        <v>58</v>
      </c>
      <c r="D50" s="5" t="s">
        <v>2367</v>
      </c>
      <c r="E50" s="5" t="s">
        <v>2242</v>
      </c>
      <c r="F50" s="5">
        <v>21</v>
      </c>
      <c r="G50" s="5">
        <v>126</v>
      </c>
    </row>
    <row r="51" spans="1:7" ht="16.5">
      <c r="A51" s="5" t="s">
        <v>2376</v>
      </c>
      <c r="B51" s="10" t="s">
        <v>2377</v>
      </c>
      <c r="C51" s="5" t="s">
        <v>59</v>
      </c>
      <c r="D51" s="5" t="s">
        <v>2378</v>
      </c>
      <c r="E51" s="5" t="s">
        <v>2236</v>
      </c>
      <c r="F51" s="5">
        <v>26</v>
      </c>
      <c r="G51" s="5">
        <v>156</v>
      </c>
    </row>
    <row r="52" spans="1:7" ht="16.5">
      <c r="A52" s="5" t="s">
        <v>2379</v>
      </c>
      <c r="B52" s="10" t="s">
        <v>2380</v>
      </c>
      <c r="C52" s="5" t="s">
        <v>60</v>
      </c>
      <c r="D52" s="5" t="s">
        <v>2381</v>
      </c>
      <c r="E52" s="5" t="s">
        <v>2242</v>
      </c>
      <c r="F52" s="5">
        <v>110</v>
      </c>
      <c r="G52" s="5">
        <v>660</v>
      </c>
    </row>
    <row r="53" spans="1:7" ht="16.5">
      <c r="A53" s="5" t="s">
        <v>2382</v>
      </c>
      <c r="B53" s="10" t="s">
        <v>2383</v>
      </c>
      <c r="C53" s="5" t="s">
        <v>61</v>
      </c>
      <c r="D53" s="5" t="s">
        <v>2384</v>
      </c>
      <c r="E53" s="5" t="s">
        <v>2242</v>
      </c>
      <c r="F53" s="5">
        <v>22</v>
      </c>
      <c r="G53" s="5">
        <v>132</v>
      </c>
    </row>
    <row r="54" spans="1:7" ht="16.5">
      <c r="A54" s="5" t="s">
        <v>2385</v>
      </c>
      <c r="B54" s="10" t="s">
        <v>2386</v>
      </c>
      <c r="C54" s="5" t="s">
        <v>62</v>
      </c>
      <c r="D54" s="5" t="s">
        <v>2387</v>
      </c>
      <c r="E54" s="5" t="s">
        <v>2242</v>
      </c>
      <c r="F54" s="5">
        <v>30</v>
      </c>
      <c r="G54" s="5">
        <v>180</v>
      </c>
    </row>
    <row r="55" spans="1:7" ht="16.5">
      <c r="A55" s="5" t="s">
        <v>2388</v>
      </c>
      <c r="B55" s="10" t="s">
        <v>2389</v>
      </c>
      <c r="C55" s="5" t="s">
        <v>63</v>
      </c>
      <c r="D55" s="5" t="s">
        <v>2390</v>
      </c>
      <c r="E55" s="5" t="s">
        <v>2242</v>
      </c>
      <c r="F55" s="5">
        <v>15</v>
      </c>
      <c r="G55" s="5">
        <v>90</v>
      </c>
    </row>
    <row r="56" spans="1:7" ht="16.5">
      <c r="A56" s="5" t="s">
        <v>2391</v>
      </c>
      <c r="B56" s="10" t="s">
        <v>2392</v>
      </c>
      <c r="C56" s="5" t="s">
        <v>64</v>
      </c>
      <c r="D56" s="5" t="s">
        <v>2393</v>
      </c>
      <c r="E56" s="5" t="s">
        <v>2242</v>
      </c>
      <c r="F56" s="5">
        <v>12</v>
      </c>
      <c r="G56" s="5">
        <v>72</v>
      </c>
    </row>
    <row r="57" spans="1:7" ht="16.5">
      <c r="A57" s="5" t="s">
        <v>2394</v>
      </c>
      <c r="B57" s="10" t="s">
        <v>2395</v>
      </c>
      <c r="C57" s="5" t="s">
        <v>65</v>
      </c>
      <c r="D57" s="5" t="s">
        <v>2396</v>
      </c>
      <c r="E57" s="5" t="s">
        <v>2242</v>
      </c>
      <c r="F57" s="5">
        <v>29</v>
      </c>
      <c r="G57" s="5">
        <v>174</v>
      </c>
    </row>
    <row r="58" spans="1:7" ht="16.5">
      <c r="A58" s="5" t="s">
        <v>2397</v>
      </c>
      <c r="B58" s="10" t="s">
        <v>2398</v>
      </c>
      <c r="C58" s="5" t="s">
        <v>66</v>
      </c>
      <c r="D58" s="5" t="s">
        <v>2399</v>
      </c>
      <c r="E58" s="5" t="s">
        <v>2400</v>
      </c>
      <c r="F58" s="5">
        <v>78</v>
      </c>
      <c r="G58" s="5">
        <v>468</v>
      </c>
    </row>
    <row r="59" spans="1:7" ht="16.5">
      <c r="A59" s="5" t="s">
        <v>2401</v>
      </c>
      <c r="B59" s="10" t="s">
        <v>2402</v>
      </c>
      <c r="C59" s="5" t="s">
        <v>67</v>
      </c>
      <c r="D59" s="5" t="s">
        <v>2403</v>
      </c>
      <c r="E59" s="5" t="s">
        <v>2400</v>
      </c>
      <c r="F59" s="5">
        <v>80</v>
      </c>
      <c r="G59" s="5">
        <v>480</v>
      </c>
    </row>
    <row r="60" spans="1:7" ht="16.5">
      <c r="A60" s="5" t="s">
        <v>2404</v>
      </c>
      <c r="B60" s="10" t="s">
        <v>2405</v>
      </c>
      <c r="C60" s="5" t="s">
        <v>68</v>
      </c>
      <c r="D60" s="5" t="s">
        <v>2403</v>
      </c>
      <c r="E60" s="5" t="s">
        <v>2400</v>
      </c>
      <c r="F60" s="5">
        <v>80</v>
      </c>
      <c r="G60" s="5">
        <v>480</v>
      </c>
    </row>
    <row r="61" spans="1:7" ht="16.5">
      <c r="A61" s="5" t="s">
        <v>2406</v>
      </c>
      <c r="B61" s="10" t="s">
        <v>2407</v>
      </c>
      <c r="C61" s="5" t="s">
        <v>69</v>
      </c>
      <c r="D61" s="5" t="s">
        <v>2408</v>
      </c>
      <c r="E61" s="5" t="s">
        <v>2400</v>
      </c>
      <c r="F61" s="5">
        <v>28</v>
      </c>
      <c r="G61" s="5">
        <v>168</v>
      </c>
    </row>
    <row r="62" spans="1:7" ht="16.5">
      <c r="A62" s="5" t="s">
        <v>2409</v>
      </c>
      <c r="B62" s="10" t="s">
        <v>2410</v>
      </c>
      <c r="C62" s="5" t="s">
        <v>70</v>
      </c>
      <c r="D62" s="5" t="s">
        <v>2411</v>
      </c>
      <c r="E62" s="5" t="s">
        <v>2400</v>
      </c>
      <c r="F62" s="5">
        <v>80</v>
      </c>
      <c r="G62" s="5">
        <v>480</v>
      </c>
    </row>
    <row r="63" spans="1:7" ht="16.5">
      <c r="A63" s="5" t="s">
        <v>2412</v>
      </c>
      <c r="B63" s="10" t="s">
        <v>2413</v>
      </c>
      <c r="C63" s="5" t="s">
        <v>71</v>
      </c>
      <c r="D63" s="5" t="s">
        <v>2414</v>
      </c>
      <c r="E63" s="5" t="s">
        <v>2400</v>
      </c>
      <c r="F63" s="5">
        <v>35</v>
      </c>
      <c r="G63" s="5">
        <v>210</v>
      </c>
    </row>
    <row r="64" spans="1:7" ht="16.5">
      <c r="A64" s="5" t="s">
        <v>2415</v>
      </c>
      <c r="B64" s="10" t="s">
        <v>2416</v>
      </c>
      <c r="C64" s="5" t="s">
        <v>72</v>
      </c>
      <c r="D64" s="5" t="s">
        <v>2417</v>
      </c>
      <c r="E64" s="5" t="s">
        <v>2418</v>
      </c>
      <c r="F64" s="5">
        <v>31.4</v>
      </c>
      <c r="G64" s="5">
        <v>188</v>
      </c>
    </row>
    <row r="65" spans="1:7" ht="16.5">
      <c r="A65" s="5" t="s">
        <v>2419</v>
      </c>
      <c r="B65" s="10" t="s">
        <v>2420</v>
      </c>
      <c r="C65" s="5" t="s">
        <v>73</v>
      </c>
      <c r="D65" s="5" t="s">
        <v>2421</v>
      </c>
      <c r="E65" s="5" t="s">
        <v>2422</v>
      </c>
      <c r="F65" s="5">
        <v>25</v>
      </c>
      <c r="G65" s="5">
        <v>150</v>
      </c>
    </row>
    <row r="66" spans="1:7" ht="16.5">
      <c r="A66" s="5" t="s">
        <v>2423</v>
      </c>
      <c r="B66" s="10" t="s">
        <v>2424</v>
      </c>
      <c r="C66" s="5" t="s">
        <v>74</v>
      </c>
      <c r="D66" s="5" t="s">
        <v>2425</v>
      </c>
      <c r="E66" s="5" t="s">
        <v>2426</v>
      </c>
      <c r="F66" s="5">
        <v>28</v>
      </c>
      <c r="G66" s="5">
        <v>168</v>
      </c>
    </row>
    <row r="67" spans="1:7" ht="16.5">
      <c r="A67" s="5" t="s">
        <v>2427</v>
      </c>
      <c r="B67" s="10" t="s">
        <v>2428</v>
      </c>
      <c r="C67" s="5" t="s">
        <v>75</v>
      </c>
      <c r="D67" s="5" t="s">
        <v>2429</v>
      </c>
      <c r="E67" s="5" t="s">
        <v>2426</v>
      </c>
      <c r="F67" s="5">
        <v>22</v>
      </c>
      <c r="G67" s="5">
        <v>132</v>
      </c>
    </row>
    <row r="68" spans="1:7" ht="16.5">
      <c r="A68" s="5" t="s">
        <v>2430</v>
      </c>
      <c r="B68" s="10" t="s">
        <v>2431</v>
      </c>
      <c r="C68" s="5" t="s">
        <v>76</v>
      </c>
      <c r="D68" s="5" t="s">
        <v>2432</v>
      </c>
      <c r="E68" s="5" t="s">
        <v>2426</v>
      </c>
      <c r="F68" s="5">
        <v>26</v>
      </c>
      <c r="G68" s="5">
        <v>156</v>
      </c>
    </row>
    <row r="69" spans="1:7" ht="16.5">
      <c r="A69" s="5" t="s">
        <v>2433</v>
      </c>
      <c r="B69" s="10" t="s">
        <v>2434</v>
      </c>
      <c r="C69" s="5" t="s">
        <v>77</v>
      </c>
      <c r="D69" s="5" t="s">
        <v>2435</v>
      </c>
      <c r="E69" s="5" t="s">
        <v>2426</v>
      </c>
      <c r="F69" s="5">
        <v>27</v>
      </c>
      <c r="G69" s="5">
        <v>162</v>
      </c>
    </row>
    <row r="70" spans="1:7" ht="16.5">
      <c r="A70" s="5" t="s">
        <v>2436</v>
      </c>
      <c r="B70" s="10" t="s">
        <v>2437</v>
      </c>
      <c r="C70" s="5" t="s">
        <v>78</v>
      </c>
      <c r="D70" s="5" t="s">
        <v>2438</v>
      </c>
      <c r="E70" s="5" t="s">
        <v>2426</v>
      </c>
      <c r="F70" s="5">
        <v>38</v>
      </c>
      <c r="G70" s="5">
        <v>228</v>
      </c>
    </row>
    <row r="71" spans="1:7" ht="16.5">
      <c r="A71" s="5" t="s">
        <v>2439</v>
      </c>
      <c r="B71" s="10" t="s">
        <v>2440</v>
      </c>
      <c r="C71" s="5" t="s">
        <v>79</v>
      </c>
      <c r="D71" s="5" t="s">
        <v>2441</v>
      </c>
      <c r="E71" s="5" t="s">
        <v>2426</v>
      </c>
      <c r="F71" s="5">
        <v>21</v>
      </c>
      <c r="G71" s="5">
        <v>126</v>
      </c>
    </row>
    <row r="72" spans="1:7" ht="16.5">
      <c r="A72" s="5" t="s">
        <v>2442</v>
      </c>
      <c r="B72" s="10" t="s">
        <v>2443</v>
      </c>
      <c r="C72" s="5" t="s">
        <v>80</v>
      </c>
      <c r="D72" s="5" t="s">
        <v>2444</v>
      </c>
      <c r="E72" s="5" t="s">
        <v>2426</v>
      </c>
      <c r="F72" s="5">
        <v>17.8</v>
      </c>
      <c r="G72" s="5">
        <v>107</v>
      </c>
    </row>
    <row r="73" spans="1:7" ht="16.5">
      <c r="A73" s="5" t="s">
        <v>2445</v>
      </c>
      <c r="B73" s="10" t="s">
        <v>2446</v>
      </c>
      <c r="C73" s="5" t="s">
        <v>81</v>
      </c>
      <c r="D73" s="5" t="s">
        <v>2447</v>
      </c>
      <c r="E73" s="5" t="s">
        <v>2426</v>
      </c>
      <c r="F73" s="5">
        <v>49</v>
      </c>
      <c r="G73" s="5">
        <v>294</v>
      </c>
    </row>
    <row r="74" spans="1:7" ht="16.5">
      <c r="A74" s="5" t="s">
        <v>2448</v>
      </c>
      <c r="B74" s="10" t="s">
        <v>2449</v>
      </c>
      <c r="C74" s="5" t="s">
        <v>82</v>
      </c>
      <c r="D74" s="5" t="s">
        <v>2450</v>
      </c>
      <c r="E74" s="5" t="s">
        <v>2426</v>
      </c>
      <c r="F74" s="5">
        <v>25</v>
      </c>
      <c r="G74" s="5">
        <v>150</v>
      </c>
    </row>
    <row r="75" spans="1:7" ht="16.5">
      <c r="A75" s="5" t="s">
        <v>2451</v>
      </c>
      <c r="B75" s="10" t="s">
        <v>2452</v>
      </c>
      <c r="C75" s="5" t="s">
        <v>83</v>
      </c>
      <c r="D75" s="5" t="s">
        <v>2453</v>
      </c>
      <c r="E75" s="5" t="s">
        <v>2426</v>
      </c>
      <c r="F75" s="5">
        <v>68</v>
      </c>
      <c r="G75" s="5">
        <v>408</v>
      </c>
    </row>
    <row r="76" spans="1:7" ht="16.5">
      <c r="A76" s="5" t="s">
        <v>2454</v>
      </c>
      <c r="B76" s="10" t="s">
        <v>2455</v>
      </c>
      <c r="C76" s="5" t="s">
        <v>84</v>
      </c>
      <c r="D76" s="5" t="s">
        <v>2456</v>
      </c>
      <c r="E76" s="5" t="s">
        <v>2426</v>
      </c>
      <c r="F76" s="5">
        <v>33</v>
      </c>
      <c r="G76" s="5">
        <v>198</v>
      </c>
    </row>
    <row r="77" spans="1:7" ht="16.5">
      <c r="A77" s="5" t="s">
        <v>2457</v>
      </c>
      <c r="B77" s="10" t="s">
        <v>2458</v>
      </c>
      <c r="C77" s="5" t="s">
        <v>85</v>
      </c>
      <c r="D77" s="5" t="s">
        <v>2459</v>
      </c>
      <c r="E77" s="5" t="s">
        <v>2426</v>
      </c>
      <c r="F77" s="5">
        <v>26</v>
      </c>
      <c r="G77" s="5">
        <v>156</v>
      </c>
    </row>
    <row r="78" spans="1:7" ht="16.5">
      <c r="A78" s="5" t="s">
        <v>2460</v>
      </c>
      <c r="B78" s="10" t="s">
        <v>2461</v>
      </c>
      <c r="C78" s="5" t="s">
        <v>86</v>
      </c>
      <c r="D78" s="5" t="s">
        <v>2236</v>
      </c>
      <c r="E78" s="5" t="s">
        <v>2426</v>
      </c>
      <c r="F78" s="5">
        <v>22</v>
      </c>
      <c r="G78" s="5">
        <v>132</v>
      </c>
    </row>
    <row r="79" spans="1:7" ht="16.5">
      <c r="A79" s="5" t="s">
        <v>2462</v>
      </c>
      <c r="B79" s="10" t="s">
        <v>2463</v>
      </c>
      <c r="C79" s="5" t="s">
        <v>87</v>
      </c>
      <c r="D79" s="5" t="s">
        <v>2464</v>
      </c>
      <c r="E79" s="5" t="s">
        <v>2426</v>
      </c>
      <c r="F79" s="5">
        <v>300</v>
      </c>
      <c r="G79" s="5">
        <v>1800</v>
      </c>
    </row>
    <row r="80" spans="1:7" ht="16.5">
      <c r="A80" s="5" t="s">
        <v>2465</v>
      </c>
      <c r="B80" s="10" t="s">
        <v>2466</v>
      </c>
      <c r="C80" s="5" t="s">
        <v>88</v>
      </c>
      <c r="D80" s="5" t="s">
        <v>2467</v>
      </c>
      <c r="E80" s="5" t="s">
        <v>2426</v>
      </c>
      <c r="F80" s="5">
        <v>42</v>
      </c>
      <c r="G80" s="5">
        <v>252</v>
      </c>
    </row>
    <row r="81" spans="1:7" ht="16.5">
      <c r="A81" s="5" t="s">
        <v>2468</v>
      </c>
      <c r="B81" s="10" t="s">
        <v>2469</v>
      </c>
      <c r="C81" s="5" t="s">
        <v>89</v>
      </c>
      <c r="D81" s="5" t="s">
        <v>2470</v>
      </c>
      <c r="E81" s="5" t="s">
        <v>2426</v>
      </c>
      <c r="F81" s="5">
        <v>22</v>
      </c>
      <c r="G81" s="5">
        <v>132</v>
      </c>
    </row>
    <row r="82" spans="1:7" ht="16.5">
      <c r="A82" s="5" t="s">
        <v>2471</v>
      </c>
      <c r="B82" s="10" t="s">
        <v>2472</v>
      </c>
      <c r="C82" s="5" t="s">
        <v>90</v>
      </c>
      <c r="D82" s="5" t="s">
        <v>2473</v>
      </c>
      <c r="E82" s="5" t="s">
        <v>2426</v>
      </c>
      <c r="F82" s="5">
        <v>21</v>
      </c>
      <c r="G82" s="5">
        <v>126</v>
      </c>
    </row>
    <row r="83" spans="1:7" ht="16.5">
      <c r="A83" s="5" t="s">
        <v>2474</v>
      </c>
      <c r="B83" s="10" t="s">
        <v>2475</v>
      </c>
      <c r="C83" s="5" t="s">
        <v>91</v>
      </c>
      <c r="D83" s="5" t="s">
        <v>2476</v>
      </c>
      <c r="E83" s="5" t="s">
        <v>2426</v>
      </c>
      <c r="F83" s="5">
        <v>27</v>
      </c>
      <c r="G83" s="5">
        <v>162</v>
      </c>
    </row>
    <row r="84" spans="1:7" ht="16.5">
      <c r="A84" s="5" t="s">
        <v>2477</v>
      </c>
      <c r="B84" s="10" t="s">
        <v>2478</v>
      </c>
      <c r="C84" s="5" t="s">
        <v>92</v>
      </c>
      <c r="D84" s="5" t="s">
        <v>2479</v>
      </c>
      <c r="E84" s="5" t="s">
        <v>2426</v>
      </c>
      <c r="F84" s="5">
        <v>20</v>
      </c>
      <c r="G84" s="5">
        <v>120</v>
      </c>
    </row>
    <row r="85" spans="1:7" ht="16.5">
      <c r="A85" s="5" t="s">
        <v>2480</v>
      </c>
      <c r="B85" s="10" t="s">
        <v>2481</v>
      </c>
      <c r="C85" s="5" t="s">
        <v>93</v>
      </c>
      <c r="D85" s="5" t="s">
        <v>2482</v>
      </c>
      <c r="E85" s="5" t="s">
        <v>2426</v>
      </c>
      <c r="F85" s="5">
        <v>38</v>
      </c>
      <c r="G85" s="5">
        <v>228</v>
      </c>
    </row>
    <row r="86" spans="1:7" ht="16.5">
      <c r="A86" s="5" t="s">
        <v>2483</v>
      </c>
      <c r="B86" s="10" t="s">
        <v>2484</v>
      </c>
      <c r="C86" s="5" t="s">
        <v>94</v>
      </c>
      <c r="D86" s="5" t="s">
        <v>2485</v>
      </c>
      <c r="E86" s="5" t="s">
        <v>2426</v>
      </c>
      <c r="F86" s="5">
        <v>69.8</v>
      </c>
      <c r="G86" s="5">
        <v>419</v>
      </c>
    </row>
    <row r="87" spans="1:7" ht="16.5">
      <c r="A87" s="5" t="s">
        <v>2486</v>
      </c>
      <c r="B87" s="10" t="s">
        <v>2487</v>
      </c>
      <c r="C87" s="5" t="s">
        <v>95</v>
      </c>
      <c r="D87" s="5" t="s">
        <v>2488</v>
      </c>
      <c r="E87" s="5" t="s">
        <v>2426</v>
      </c>
      <c r="F87" s="5">
        <v>32</v>
      </c>
      <c r="G87" s="5">
        <v>192</v>
      </c>
    </row>
    <row r="88" spans="1:7" ht="16.5">
      <c r="A88" s="5" t="s">
        <v>2489</v>
      </c>
      <c r="B88" s="10" t="s">
        <v>2490</v>
      </c>
      <c r="C88" s="5" t="s">
        <v>96</v>
      </c>
      <c r="D88" s="5" t="s">
        <v>2491</v>
      </c>
      <c r="E88" s="5" t="s">
        <v>2426</v>
      </c>
      <c r="F88" s="5">
        <v>30</v>
      </c>
      <c r="G88" s="5">
        <v>180</v>
      </c>
    </row>
    <row r="89" spans="1:7" ht="16.5">
      <c r="A89" s="5" t="s">
        <v>2492</v>
      </c>
      <c r="B89" s="10" t="s">
        <v>2493</v>
      </c>
      <c r="C89" s="5" t="s">
        <v>97</v>
      </c>
      <c r="D89" s="5" t="s">
        <v>2494</v>
      </c>
      <c r="E89" s="5" t="s">
        <v>2426</v>
      </c>
      <c r="F89" s="5">
        <v>40</v>
      </c>
      <c r="G89" s="5">
        <v>240</v>
      </c>
    </row>
    <row r="90" spans="1:7" ht="16.5">
      <c r="A90" s="5" t="s">
        <v>2495</v>
      </c>
      <c r="B90" s="10" t="s">
        <v>2496</v>
      </c>
      <c r="C90" s="5" t="s">
        <v>98</v>
      </c>
      <c r="D90" s="5" t="s">
        <v>2497</v>
      </c>
      <c r="E90" s="5" t="s">
        <v>2426</v>
      </c>
      <c r="F90" s="5">
        <v>55</v>
      </c>
      <c r="G90" s="5">
        <v>330</v>
      </c>
    </row>
    <row r="91" spans="1:7" ht="16.5">
      <c r="A91" s="5" t="s">
        <v>2498</v>
      </c>
      <c r="B91" s="10" t="s">
        <v>2499</v>
      </c>
      <c r="C91" s="5" t="s">
        <v>99</v>
      </c>
      <c r="D91" s="5" t="s">
        <v>2500</v>
      </c>
      <c r="E91" s="5" t="s">
        <v>2426</v>
      </c>
      <c r="F91" s="5">
        <v>20</v>
      </c>
      <c r="G91" s="5">
        <v>120</v>
      </c>
    </row>
    <row r="92" spans="1:7" ht="16.5">
      <c r="A92" s="5" t="s">
        <v>2501</v>
      </c>
      <c r="B92" s="10" t="s">
        <v>2502</v>
      </c>
      <c r="C92" s="5" t="s">
        <v>100</v>
      </c>
      <c r="D92" s="5" t="s">
        <v>2503</v>
      </c>
      <c r="E92" s="5" t="s">
        <v>2426</v>
      </c>
      <c r="F92" s="5">
        <v>28</v>
      </c>
      <c r="G92" s="5">
        <v>168</v>
      </c>
    </row>
    <row r="93" spans="1:7" ht="16.5">
      <c r="A93" s="5" t="s">
        <v>2504</v>
      </c>
      <c r="B93" s="10" t="s">
        <v>2505</v>
      </c>
      <c r="C93" s="5" t="s">
        <v>101</v>
      </c>
      <c r="D93" s="5" t="s">
        <v>2506</v>
      </c>
      <c r="E93" s="5" t="s">
        <v>2426</v>
      </c>
      <c r="F93" s="5">
        <v>96</v>
      </c>
      <c r="G93" s="5">
        <v>576</v>
      </c>
    </row>
    <row r="94" spans="1:7" ht="16.5">
      <c r="A94" s="5" t="s">
        <v>2507</v>
      </c>
      <c r="B94" s="10" t="s">
        <v>2508</v>
      </c>
      <c r="C94" s="5" t="s">
        <v>102</v>
      </c>
      <c r="D94" s="5" t="s">
        <v>2509</v>
      </c>
      <c r="E94" s="5" t="s">
        <v>2426</v>
      </c>
      <c r="F94" s="5">
        <v>36</v>
      </c>
      <c r="G94" s="5">
        <v>216</v>
      </c>
    </row>
    <row r="95" spans="1:7" ht="16.5">
      <c r="A95" s="5" t="s">
        <v>2510</v>
      </c>
      <c r="B95" s="10" t="s">
        <v>2511</v>
      </c>
      <c r="C95" s="5" t="s">
        <v>103</v>
      </c>
      <c r="D95" s="5" t="s">
        <v>2512</v>
      </c>
      <c r="E95" s="5" t="s">
        <v>2426</v>
      </c>
      <c r="F95" s="5">
        <v>33</v>
      </c>
      <c r="G95" s="5">
        <v>198</v>
      </c>
    </row>
    <row r="96" spans="1:7" ht="16.5">
      <c r="A96" s="5" t="s">
        <v>2513</v>
      </c>
      <c r="B96" s="10" t="s">
        <v>2514</v>
      </c>
      <c r="C96" s="5" t="s">
        <v>104</v>
      </c>
      <c r="D96" s="5" t="s">
        <v>2515</v>
      </c>
      <c r="E96" s="5" t="s">
        <v>2426</v>
      </c>
      <c r="F96" s="5">
        <v>46</v>
      </c>
      <c r="G96" s="5">
        <v>276</v>
      </c>
    </row>
    <row r="97" spans="1:7" ht="16.5">
      <c r="A97" s="5" t="s">
        <v>2516</v>
      </c>
      <c r="B97" s="10" t="s">
        <v>2517</v>
      </c>
      <c r="C97" s="5" t="s">
        <v>105</v>
      </c>
      <c r="D97" s="5" t="s">
        <v>2518</v>
      </c>
      <c r="E97" s="5" t="s">
        <v>2519</v>
      </c>
      <c r="F97" s="5">
        <v>128</v>
      </c>
      <c r="G97" s="5">
        <v>768</v>
      </c>
    </row>
    <row r="98" spans="1:7" ht="16.5">
      <c r="A98" s="5" t="s">
        <v>2520</v>
      </c>
      <c r="B98" s="10" t="s">
        <v>2521</v>
      </c>
      <c r="C98" s="5" t="s">
        <v>106</v>
      </c>
      <c r="D98" s="5" t="s">
        <v>2522</v>
      </c>
      <c r="E98" s="5" t="s">
        <v>2519</v>
      </c>
      <c r="F98" s="5">
        <v>8</v>
      </c>
      <c r="G98" s="5">
        <v>48</v>
      </c>
    </row>
    <row r="99" spans="1:7" ht="16.5">
      <c r="A99" s="5" t="s">
        <v>2523</v>
      </c>
      <c r="B99" s="10" t="s">
        <v>2524</v>
      </c>
      <c r="C99" s="5" t="s">
        <v>107</v>
      </c>
      <c r="D99" s="5" t="s">
        <v>2525</v>
      </c>
      <c r="E99" s="5" t="s">
        <v>2519</v>
      </c>
      <c r="F99" s="5">
        <v>68</v>
      </c>
      <c r="G99" s="5">
        <v>408</v>
      </c>
    </row>
    <row r="100" spans="1:7" ht="16.5">
      <c r="A100" s="5" t="s">
        <v>2526</v>
      </c>
      <c r="B100" s="10" t="s">
        <v>2527</v>
      </c>
      <c r="C100" s="5" t="s">
        <v>108</v>
      </c>
      <c r="D100" s="5" t="s">
        <v>2528</v>
      </c>
      <c r="E100" s="5" t="s">
        <v>2519</v>
      </c>
      <c r="F100" s="5">
        <v>25</v>
      </c>
      <c r="G100" s="5">
        <v>150</v>
      </c>
    </row>
    <row r="101" spans="1:7" ht="16.5">
      <c r="A101" s="5" t="s">
        <v>2529</v>
      </c>
      <c r="B101" s="10" t="s">
        <v>2530</v>
      </c>
      <c r="C101" s="5" t="s">
        <v>109</v>
      </c>
      <c r="D101" s="5" t="s">
        <v>2531</v>
      </c>
      <c r="E101" s="5" t="s">
        <v>2519</v>
      </c>
      <c r="F101" s="5">
        <v>54</v>
      </c>
      <c r="G101" s="5">
        <v>324</v>
      </c>
    </row>
    <row r="102" spans="1:7" ht="16.5">
      <c r="A102" s="5" t="s">
        <v>2532</v>
      </c>
      <c r="B102" s="10" t="s">
        <v>2533</v>
      </c>
      <c r="C102" s="5" t="s">
        <v>110</v>
      </c>
      <c r="D102" s="5" t="s">
        <v>2534</v>
      </c>
      <c r="E102" s="5" t="s">
        <v>2519</v>
      </c>
      <c r="F102" s="5">
        <v>48</v>
      </c>
      <c r="G102" s="5">
        <v>288</v>
      </c>
    </row>
    <row r="103" spans="1:7" ht="16.5">
      <c r="A103" s="5" t="s">
        <v>2535</v>
      </c>
      <c r="B103" s="10" t="s">
        <v>2536</v>
      </c>
      <c r="C103" s="5" t="s">
        <v>111</v>
      </c>
      <c r="D103" s="5" t="s">
        <v>2236</v>
      </c>
      <c r="E103" s="5" t="s">
        <v>2519</v>
      </c>
      <c r="F103" s="5">
        <v>18</v>
      </c>
      <c r="G103" s="5">
        <v>108</v>
      </c>
    </row>
    <row r="104" spans="1:7" ht="16.5">
      <c r="A104" s="5" t="s">
        <v>2537</v>
      </c>
      <c r="B104" s="10" t="s">
        <v>2538</v>
      </c>
      <c r="C104" s="5" t="s">
        <v>112</v>
      </c>
      <c r="D104" s="5" t="s">
        <v>2539</v>
      </c>
      <c r="E104" s="5" t="s">
        <v>2519</v>
      </c>
      <c r="F104" s="5">
        <v>25</v>
      </c>
      <c r="G104" s="5">
        <v>150</v>
      </c>
    </row>
    <row r="105" spans="1:7" ht="16.5">
      <c r="A105" s="5" t="s">
        <v>2540</v>
      </c>
      <c r="B105" s="10" t="s">
        <v>2541</v>
      </c>
      <c r="C105" s="5" t="s">
        <v>113</v>
      </c>
      <c r="D105" s="5" t="s">
        <v>2542</v>
      </c>
      <c r="E105" s="5" t="s">
        <v>2519</v>
      </c>
      <c r="F105" s="5">
        <v>12</v>
      </c>
      <c r="G105" s="5">
        <v>72</v>
      </c>
    </row>
    <row r="106" spans="1:7" ht="16.5">
      <c r="A106" s="5" t="s">
        <v>2543</v>
      </c>
      <c r="B106" s="10" t="s">
        <v>2544</v>
      </c>
      <c r="C106" s="5" t="s">
        <v>114</v>
      </c>
      <c r="D106" s="5" t="s">
        <v>2236</v>
      </c>
      <c r="E106" s="5" t="s">
        <v>2519</v>
      </c>
      <c r="F106" s="5">
        <v>15</v>
      </c>
      <c r="G106" s="5">
        <v>90</v>
      </c>
    </row>
    <row r="107" spans="1:7" ht="16.5">
      <c r="A107" s="5" t="s">
        <v>2545</v>
      </c>
      <c r="B107" s="10" t="s">
        <v>2546</v>
      </c>
      <c r="C107" s="5" t="s">
        <v>115</v>
      </c>
      <c r="D107" s="5" t="s">
        <v>2547</v>
      </c>
      <c r="E107" s="5" t="s">
        <v>2519</v>
      </c>
      <c r="F107" s="5">
        <v>38</v>
      </c>
      <c r="G107" s="5">
        <v>228</v>
      </c>
    </row>
    <row r="108" spans="1:7" ht="16.5">
      <c r="A108" s="5" t="s">
        <v>2548</v>
      </c>
      <c r="B108" s="10" t="s">
        <v>2549</v>
      </c>
      <c r="C108" s="5" t="s">
        <v>116</v>
      </c>
      <c r="D108" s="5" t="s">
        <v>2550</v>
      </c>
      <c r="E108" s="5" t="s">
        <v>2519</v>
      </c>
      <c r="F108" s="5">
        <v>27</v>
      </c>
      <c r="G108" s="5">
        <v>162</v>
      </c>
    </row>
    <row r="109" spans="1:7" ht="16.5">
      <c r="A109" s="5" t="s">
        <v>2551</v>
      </c>
      <c r="B109" s="10" t="s">
        <v>2552</v>
      </c>
      <c r="C109" s="5" t="s">
        <v>117</v>
      </c>
      <c r="D109" s="5" t="s">
        <v>2553</v>
      </c>
      <c r="E109" s="5" t="s">
        <v>2519</v>
      </c>
      <c r="F109" s="5">
        <v>25</v>
      </c>
      <c r="G109" s="5">
        <v>150</v>
      </c>
    </row>
    <row r="110" spans="1:7" ht="16.5">
      <c r="A110" s="5" t="s">
        <v>2554</v>
      </c>
      <c r="B110" s="10" t="s">
        <v>2555</v>
      </c>
      <c r="C110" s="5" t="s">
        <v>118</v>
      </c>
      <c r="D110" s="5" t="s">
        <v>2556</v>
      </c>
      <c r="E110" s="5" t="s">
        <v>2519</v>
      </c>
      <c r="F110" s="5">
        <v>24</v>
      </c>
      <c r="G110" s="5">
        <v>144</v>
      </c>
    </row>
    <row r="111" spans="1:7" ht="16.5">
      <c r="A111" s="5" t="s">
        <v>2557</v>
      </c>
      <c r="B111" s="10" t="s">
        <v>2558</v>
      </c>
      <c r="C111" s="5" t="s">
        <v>119</v>
      </c>
      <c r="D111" s="5" t="s">
        <v>2559</v>
      </c>
      <c r="E111" s="5" t="s">
        <v>2519</v>
      </c>
      <c r="F111" s="5">
        <v>32</v>
      </c>
      <c r="G111" s="5">
        <v>192</v>
      </c>
    </row>
    <row r="112" spans="1:7" ht="16.5">
      <c r="A112" s="5" t="s">
        <v>2560</v>
      </c>
      <c r="B112" s="10" t="s">
        <v>2561</v>
      </c>
      <c r="C112" s="5" t="s">
        <v>120</v>
      </c>
      <c r="D112" s="5" t="s">
        <v>2562</v>
      </c>
      <c r="E112" s="5" t="s">
        <v>2519</v>
      </c>
      <c r="F112" s="5">
        <v>42</v>
      </c>
      <c r="G112" s="5">
        <v>252</v>
      </c>
    </row>
    <row r="113" spans="1:7" ht="16.5">
      <c r="A113" s="5" t="s">
        <v>2563</v>
      </c>
      <c r="B113" s="10" t="s">
        <v>2564</v>
      </c>
      <c r="C113" s="5" t="s">
        <v>121</v>
      </c>
      <c r="D113" s="5" t="s">
        <v>2565</v>
      </c>
      <c r="E113" s="5" t="s">
        <v>2519</v>
      </c>
      <c r="F113" s="5">
        <v>49</v>
      </c>
      <c r="G113" s="5">
        <v>294</v>
      </c>
    </row>
    <row r="114" spans="1:7" ht="16.5">
      <c r="A114" s="5" t="s">
        <v>2566</v>
      </c>
      <c r="B114" s="10" t="s">
        <v>2567</v>
      </c>
      <c r="C114" s="5" t="s">
        <v>122</v>
      </c>
      <c r="D114" s="5" t="s">
        <v>2568</v>
      </c>
      <c r="E114" s="5" t="s">
        <v>2519</v>
      </c>
      <c r="F114" s="5">
        <v>49</v>
      </c>
      <c r="G114" s="5">
        <v>294</v>
      </c>
    </row>
    <row r="115" spans="1:7" ht="16.5">
      <c r="A115" s="5" t="s">
        <v>2569</v>
      </c>
      <c r="B115" s="10" t="s">
        <v>2570</v>
      </c>
      <c r="C115" s="5" t="s">
        <v>123</v>
      </c>
      <c r="D115" s="5" t="s">
        <v>2571</v>
      </c>
      <c r="E115" s="5" t="s">
        <v>2519</v>
      </c>
      <c r="F115" s="5">
        <v>26</v>
      </c>
      <c r="G115" s="5">
        <v>156</v>
      </c>
    </row>
    <row r="116" spans="1:7" ht="16.5">
      <c r="A116" s="5" t="s">
        <v>2572</v>
      </c>
      <c r="B116" s="10" t="s">
        <v>2573</v>
      </c>
      <c r="C116" s="5" t="s">
        <v>124</v>
      </c>
      <c r="D116" s="5" t="s">
        <v>2574</v>
      </c>
      <c r="E116" s="5" t="s">
        <v>2519</v>
      </c>
      <c r="F116" s="5">
        <v>27</v>
      </c>
      <c r="G116" s="5">
        <v>162</v>
      </c>
    </row>
    <row r="117" spans="1:7" ht="16.5">
      <c r="A117" s="5" t="s">
        <v>2575</v>
      </c>
      <c r="B117" s="10" t="s">
        <v>2576</v>
      </c>
      <c r="C117" s="5" t="s">
        <v>125</v>
      </c>
      <c r="D117" s="5" t="s">
        <v>2577</v>
      </c>
      <c r="E117" s="5" t="s">
        <v>2519</v>
      </c>
      <c r="F117" s="5">
        <v>40</v>
      </c>
      <c r="G117" s="5">
        <v>240</v>
      </c>
    </row>
    <row r="118" spans="1:7" ht="16.5">
      <c r="A118" s="5" t="s">
        <v>2578</v>
      </c>
      <c r="B118" s="10" t="s">
        <v>2579</v>
      </c>
      <c r="C118" s="5" t="s">
        <v>126</v>
      </c>
      <c r="D118" s="5" t="s">
        <v>2580</v>
      </c>
      <c r="E118" s="5" t="s">
        <v>2519</v>
      </c>
      <c r="F118" s="5">
        <v>28</v>
      </c>
      <c r="G118" s="5">
        <v>168</v>
      </c>
    </row>
    <row r="119" spans="1:7" ht="16.5">
      <c r="A119" s="5" t="s">
        <v>2581</v>
      </c>
      <c r="B119" s="10" t="s">
        <v>2582</v>
      </c>
      <c r="C119" s="5" t="s">
        <v>127</v>
      </c>
      <c r="D119" s="5" t="s">
        <v>2583</v>
      </c>
      <c r="E119" s="5" t="s">
        <v>2519</v>
      </c>
      <c r="F119" s="5">
        <v>780</v>
      </c>
      <c r="G119" s="5">
        <v>4680</v>
      </c>
    </row>
    <row r="120" spans="1:7" ht="16.5">
      <c r="A120" s="5" t="s">
        <v>2584</v>
      </c>
      <c r="B120" s="10" t="s">
        <v>2585</v>
      </c>
      <c r="C120" s="5" t="s">
        <v>128</v>
      </c>
      <c r="D120" s="5" t="s">
        <v>2586</v>
      </c>
      <c r="E120" s="5" t="s">
        <v>2519</v>
      </c>
      <c r="F120" s="5">
        <v>58</v>
      </c>
      <c r="G120" s="5">
        <v>348</v>
      </c>
    </row>
    <row r="121" spans="1:7" ht="16.5">
      <c r="A121" s="5" t="s">
        <v>2587</v>
      </c>
      <c r="B121" s="10" t="s">
        <v>2588</v>
      </c>
      <c r="C121" s="5" t="s">
        <v>129</v>
      </c>
      <c r="D121" s="5" t="s">
        <v>2589</v>
      </c>
      <c r="E121" s="5" t="s">
        <v>2519</v>
      </c>
      <c r="F121" s="5">
        <v>43</v>
      </c>
      <c r="G121" s="5">
        <v>258</v>
      </c>
    </row>
    <row r="122" spans="1:7" ht="16.5">
      <c r="A122" s="5" t="s">
        <v>2590</v>
      </c>
      <c r="B122" s="10" t="s">
        <v>2591</v>
      </c>
      <c r="C122" s="5" t="s">
        <v>2</v>
      </c>
      <c r="D122" s="5" t="s">
        <v>2592</v>
      </c>
      <c r="E122" s="5" t="s">
        <v>2519</v>
      </c>
      <c r="F122" s="5">
        <v>36</v>
      </c>
      <c r="G122" s="5">
        <v>216</v>
      </c>
    </row>
    <row r="123" spans="1:7" ht="16.5">
      <c r="A123" s="5" t="s">
        <v>2593</v>
      </c>
      <c r="B123" s="10" t="s">
        <v>2594</v>
      </c>
      <c r="C123" s="5" t="s">
        <v>130</v>
      </c>
      <c r="D123" s="5" t="s">
        <v>2595</v>
      </c>
      <c r="E123" s="5" t="s">
        <v>2519</v>
      </c>
      <c r="F123" s="5">
        <v>60</v>
      </c>
      <c r="G123" s="5">
        <v>360</v>
      </c>
    </row>
    <row r="124" spans="1:7" ht="16.5">
      <c r="A124" s="5" t="s">
        <v>2596</v>
      </c>
      <c r="B124" s="10" t="s">
        <v>2597</v>
      </c>
      <c r="C124" s="5" t="s">
        <v>131</v>
      </c>
      <c r="D124" s="5" t="s">
        <v>2598</v>
      </c>
      <c r="E124" s="5" t="s">
        <v>2519</v>
      </c>
      <c r="F124" s="5">
        <v>55</v>
      </c>
      <c r="G124" s="5">
        <v>330</v>
      </c>
    </row>
    <row r="125" spans="1:7" ht="16.5">
      <c r="A125" s="5" t="s">
        <v>2599</v>
      </c>
      <c r="B125" s="10" t="s">
        <v>2600</v>
      </c>
      <c r="C125" s="5" t="s">
        <v>132</v>
      </c>
      <c r="D125" s="5" t="s">
        <v>2601</v>
      </c>
      <c r="E125" s="5" t="s">
        <v>2519</v>
      </c>
      <c r="F125" s="5">
        <v>20</v>
      </c>
      <c r="G125" s="5">
        <v>120</v>
      </c>
    </row>
    <row r="126" spans="1:7" ht="16.5">
      <c r="A126" s="5" t="s">
        <v>2602</v>
      </c>
      <c r="B126" s="10" t="s">
        <v>2603</v>
      </c>
      <c r="C126" s="5" t="s">
        <v>133</v>
      </c>
      <c r="D126" s="5" t="s">
        <v>2604</v>
      </c>
      <c r="E126" s="5" t="s">
        <v>2519</v>
      </c>
      <c r="F126" s="5">
        <v>26</v>
      </c>
      <c r="G126" s="5">
        <v>156</v>
      </c>
    </row>
    <row r="127" spans="1:7" ht="16.5">
      <c r="A127" s="5" t="s">
        <v>2605</v>
      </c>
      <c r="B127" s="10" t="s">
        <v>2606</v>
      </c>
      <c r="C127" s="5" t="s">
        <v>134</v>
      </c>
      <c r="D127" s="5" t="s">
        <v>2607</v>
      </c>
      <c r="E127" s="5" t="s">
        <v>2519</v>
      </c>
      <c r="F127" s="5">
        <v>15</v>
      </c>
      <c r="G127" s="5">
        <v>90</v>
      </c>
    </row>
    <row r="128" spans="1:7" ht="16.5">
      <c r="A128" s="5" t="s">
        <v>2608</v>
      </c>
      <c r="B128" s="10" t="s">
        <v>2609</v>
      </c>
      <c r="C128" s="5" t="s">
        <v>135</v>
      </c>
      <c r="D128" s="5" t="s">
        <v>2610</v>
      </c>
      <c r="E128" s="5" t="s">
        <v>2519</v>
      </c>
      <c r="F128" s="5">
        <v>18</v>
      </c>
      <c r="G128" s="5">
        <v>108</v>
      </c>
    </row>
    <row r="129" spans="1:7" ht="16.5">
      <c r="A129" s="5" t="s">
        <v>2611</v>
      </c>
      <c r="B129" s="10" t="s">
        <v>2612</v>
      </c>
      <c r="C129" s="5" t="s">
        <v>136</v>
      </c>
      <c r="D129" s="5" t="s">
        <v>2613</v>
      </c>
      <c r="E129" s="5" t="s">
        <v>2519</v>
      </c>
      <c r="F129" s="5">
        <v>18</v>
      </c>
      <c r="G129" s="5">
        <v>108</v>
      </c>
    </row>
    <row r="130" spans="1:7" ht="16.5">
      <c r="A130" s="5" t="s">
        <v>2614</v>
      </c>
      <c r="B130" s="10" t="s">
        <v>2615</v>
      </c>
      <c r="C130" s="5" t="s">
        <v>137</v>
      </c>
      <c r="D130" s="5" t="s">
        <v>2616</v>
      </c>
      <c r="E130" s="5" t="s">
        <v>2519</v>
      </c>
      <c r="F130" s="5">
        <v>19</v>
      </c>
      <c r="G130" s="5">
        <v>114</v>
      </c>
    </row>
    <row r="131" spans="1:7" ht="16.5">
      <c r="A131" s="5" t="s">
        <v>2617</v>
      </c>
      <c r="B131" s="10" t="s">
        <v>2618</v>
      </c>
      <c r="C131" s="5" t="s">
        <v>138</v>
      </c>
      <c r="D131" s="5" t="s">
        <v>2619</v>
      </c>
      <c r="E131" s="5" t="s">
        <v>2519</v>
      </c>
      <c r="F131" s="5">
        <v>21</v>
      </c>
      <c r="G131" s="5">
        <v>126</v>
      </c>
    </row>
    <row r="132" spans="1:7" ht="16.5">
      <c r="A132" s="5" t="s">
        <v>2620</v>
      </c>
      <c r="B132" s="10" t="s">
        <v>2621</v>
      </c>
      <c r="C132" s="5" t="s">
        <v>139</v>
      </c>
      <c r="D132" s="5" t="s">
        <v>2622</v>
      </c>
      <c r="E132" s="5" t="s">
        <v>2519</v>
      </c>
      <c r="F132" s="5">
        <v>15</v>
      </c>
      <c r="G132" s="5">
        <v>90</v>
      </c>
    </row>
    <row r="133" spans="1:7" ht="16.5">
      <c r="A133" s="5" t="s">
        <v>2623</v>
      </c>
      <c r="B133" s="10" t="s">
        <v>2624</v>
      </c>
      <c r="C133" s="5" t="s">
        <v>140</v>
      </c>
      <c r="D133" s="5" t="s">
        <v>2625</v>
      </c>
      <c r="E133" s="5" t="s">
        <v>2519</v>
      </c>
      <c r="F133" s="5">
        <v>22</v>
      </c>
      <c r="G133" s="5">
        <v>132</v>
      </c>
    </row>
    <row r="134" spans="1:7" ht="16.5">
      <c r="A134" s="5" t="s">
        <v>2626</v>
      </c>
      <c r="B134" s="10" t="s">
        <v>2627</v>
      </c>
      <c r="C134" s="5" t="s">
        <v>141</v>
      </c>
      <c r="D134" s="5" t="s">
        <v>2628</v>
      </c>
      <c r="E134" s="5" t="s">
        <v>2519</v>
      </c>
      <c r="F134" s="5">
        <v>15</v>
      </c>
      <c r="G134" s="5">
        <v>90</v>
      </c>
    </row>
    <row r="135" spans="1:7" ht="16.5">
      <c r="A135" s="5" t="s">
        <v>2629</v>
      </c>
      <c r="B135" s="10" t="s">
        <v>2630</v>
      </c>
      <c r="C135" s="5" t="s">
        <v>142</v>
      </c>
      <c r="D135" s="5" t="s">
        <v>2631</v>
      </c>
      <c r="E135" s="5" t="s">
        <v>2519</v>
      </c>
      <c r="F135" s="5">
        <v>18</v>
      </c>
      <c r="G135" s="5">
        <v>108</v>
      </c>
    </row>
    <row r="136" spans="1:7" ht="16.5">
      <c r="A136" s="5" t="s">
        <v>2632</v>
      </c>
      <c r="B136" s="10" t="s">
        <v>2633</v>
      </c>
      <c r="C136" s="5" t="s">
        <v>143</v>
      </c>
      <c r="D136" s="5" t="s">
        <v>2634</v>
      </c>
      <c r="E136" s="5" t="s">
        <v>2519</v>
      </c>
      <c r="F136" s="5">
        <v>18</v>
      </c>
      <c r="G136" s="5">
        <v>108</v>
      </c>
    </row>
    <row r="137" spans="1:7" ht="16.5">
      <c r="A137" s="5" t="s">
        <v>2635</v>
      </c>
      <c r="B137" s="10" t="s">
        <v>2636</v>
      </c>
      <c r="C137" s="5" t="s">
        <v>144</v>
      </c>
      <c r="D137" s="5" t="s">
        <v>2637</v>
      </c>
      <c r="E137" s="5" t="s">
        <v>2519</v>
      </c>
      <c r="F137" s="5">
        <v>29</v>
      </c>
      <c r="G137" s="5">
        <v>174</v>
      </c>
    </row>
    <row r="138" spans="1:7" ht="16.5">
      <c r="A138" s="5" t="s">
        <v>2638</v>
      </c>
      <c r="B138" s="10" t="s">
        <v>2639</v>
      </c>
      <c r="C138" s="5" t="s">
        <v>145</v>
      </c>
      <c r="D138" s="5" t="s">
        <v>2640</v>
      </c>
      <c r="E138" s="5" t="s">
        <v>2519</v>
      </c>
      <c r="F138" s="5">
        <v>29</v>
      </c>
      <c r="G138" s="5">
        <v>174</v>
      </c>
    </row>
    <row r="139" spans="1:7" ht="16.5">
      <c r="A139" s="5" t="s">
        <v>2641</v>
      </c>
      <c r="B139" s="10" t="s">
        <v>2642</v>
      </c>
      <c r="C139" s="5" t="s">
        <v>146</v>
      </c>
      <c r="D139" s="5" t="s">
        <v>2643</v>
      </c>
      <c r="E139" s="5" t="s">
        <v>2519</v>
      </c>
      <c r="F139" s="5">
        <v>48</v>
      </c>
      <c r="G139" s="5">
        <v>288</v>
      </c>
    </row>
    <row r="140" spans="1:7" ht="16.5">
      <c r="A140" s="5" t="s">
        <v>2644</v>
      </c>
      <c r="B140" s="10" t="s">
        <v>2645</v>
      </c>
      <c r="C140" s="5" t="s">
        <v>147</v>
      </c>
      <c r="D140" s="5" t="s">
        <v>2646</v>
      </c>
      <c r="E140" s="5" t="s">
        <v>2519</v>
      </c>
      <c r="F140" s="5">
        <v>48</v>
      </c>
      <c r="G140" s="5">
        <v>288</v>
      </c>
    </row>
    <row r="141" spans="1:7" ht="16.5">
      <c r="A141" s="5" t="s">
        <v>2647</v>
      </c>
      <c r="B141" s="10" t="s">
        <v>2648</v>
      </c>
      <c r="C141" s="5" t="s">
        <v>148</v>
      </c>
      <c r="D141" s="5" t="s">
        <v>2649</v>
      </c>
      <c r="E141" s="5" t="s">
        <v>2519</v>
      </c>
      <c r="F141" s="5">
        <v>25</v>
      </c>
      <c r="G141" s="5">
        <v>150</v>
      </c>
    </row>
    <row r="142" spans="1:7" ht="16.5">
      <c r="A142" s="5" t="s">
        <v>2650</v>
      </c>
      <c r="B142" s="10" t="s">
        <v>2651</v>
      </c>
      <c r="C142" s="5" t="s">
        <v>2652</v>
      </c>
      <c r="D142" s="5" t="s">
        <v>2653</v>
      </c>
      <c r="E142" s="5" t="s">
        <v>2519</v>
      </c>
      <c r="F142" s="5">
        <v>48</v>
      </c>
      <c r="G142" s="5">
        <v>288</v>
      </c>
    </row>
    <row r="143" spans="1:7" ht="16.5">
      <c r="A143" s="5" t="s">
        <v>2654</v>
      </c>
      <c r="B143" s="10" t="s">
        <v>2655</v>
      </c>
      <c r="C143" s="5" t="s">
        <v>149</v>
      </c>
      <c r="D143" s="5" t="s">
        <v>2656</v>
      </c>
      <c r="E143" s="5" t="s">
        <v>2519</v>
      </c>
      <c r="F143" s="5">
        <v>43</v>
      </c>
      <c r="G143" s="5">
        <v>258</v>
      </c>
    </row>
    <row r="144" spans="1:7" ht="16.5">
      <c r="A144" s="5" t="s">
        <v>2657</v>
      </c>
      <c r="B144" s="10" t="s">
        <v>2658</v>
      </c>
      <c r="C144" s="5" t="s">
        <v>150</v>
      </c>
      <c r="D144" s="5" t="s">
        <v>2659</v>
      </c>
      <c r="E144" s="5" t="s">
        <v>2519</v>
      </c>
      <c r="F144" s="5">
        <v>39</v>
      </c>
      <c r="G144" s="5">
        <v>234</v>
      </c>
    </row>
    <row r="145" spans="1:7" ht="16.5">
      <c r="A145" s="5" t="s">
        <v>2660</v>
      </c>
      <c r="B145" s="10" t="s">
        <v>2661</v>
      </c>
      <c r="C145" s="5" t="s">
        <v>151</v>
      </c>
      <c r="D145" s="5" t="s">
        <v>2662</v>
      </c>
      <c r="E145" s="5" t="s">
        <v>2663</v>
      </c>
      <c r="F145" s="5">
        <v>22</v>
      </c>
      <c r="G145" s="5">
        <v>132</v>
      </c>
    </row>
    <row r="146" spans="1:7" ht="16.5">
      <c r="A146" s="5" t="s">
        <v>2664</v>
      </c>
      <c r="B146" s="10" t="s">
        <v>2665</v>
      </c>
      <c r="C146" s="5" t="s">
        <v>152</v>
      </c>
      <c r="D146" s="5" t="s">
        <v>2666</v>
      </c>
      <c r="E146" s="5" t="s">
        <v>2667</v>
      </c>
      <c r="F146" s="5">
        <v>25</v>
      </c>
      <c r="G146" s="5">
        <v>150</v>
      </c>
    </row>
    <row r="147" spans="1:7" ht="16.5">
      <c r="A147" s="5" t="s">
        <v>2668</v>
      </c>
      <c r="B147" s="10" t="s">
        <v>2669</v>
      </c>
      <c r="C147" s="5" t="s">
        <v>153</v>
      </c>
      <c r="D147" s="5" t="s">
        <v>2670</v>
      </c>
      <c r="E147" s="5" t="s">
        <v>2667</v>
      </c>
      <c r="F147" s="5">
        <v>14</v>
      </c>
      <c r="G147" s="5">
        <v>84</v>
      </c>
    </row>
    <row r="148" spans="1:7" ht="16.5">
      <c r="A148" s="5" t="s">
        <v>2671</v>
      </c>
      <c r="B148" s="10" t="s">
        <v>2672</v>
      </c>
      <c r="C148" s="5" t="s">
        <v>154</v>
      </c>
      <c r="D148" s="5" t="s">
        <v>2673</v>
      </c>
      <c r="E148" s="5" t="s">
        <v>2667</v>
      </c>
      <c r="F148" s="5">
        <v>29.8</v>
      </c>
      <c r="G148" s="5">
        <v>179</v>
      </c>
    </row>
    <row r="149" spans="1:7" ht="16.5">
      <c r="A149" s="5" t="s">
        <v>2674</v>
      </c>
      <c r="B149" s="10" t="s">
        <v>2675</v>
      </c>
      <c r="C149" s="5" t="s">
        <v>155</v>
      </c>
      <c r="D149" s="5" t="s">
        <v>2676</v>
      </c>
      <c r="E149" s="5" t="s">
        <v>2667</v>
      </c>
      <c r="F149" s="5">
        <v>28</v>
      </c>
      <c r="G149" s="5">
        <v>168</v>
      </c>
    </row>
    <row r="150" spans="1:7" ht="16.5">
      <c r="A150" s="5" t="s">
        <v>2677</v>
      </c>
      <c r="B150" s="10" t="s">
        <v>2678</v>
      </c>
      <c r="C150" s="5" t="s">
        <v>156</v>
      </c>
      <c r="D150" s="5" t="s">
        <v>2679</v>
      </c>
      <c r="E150" s="5" t="s">
        <v>2667</v>
      </c>
      <c r="F150" s="5">
        <v>22</v>
      </c>
      <c r="G150" s="5">
        <v>132</v>
      </c>
    </row>
    <row r="151" spans="1:7" ht="16.5">
      <c r="A151" s="5" t="s">
        <v>2680</v>
      </c>
      <c r="B151" s="10" t="s">
        <v>2681</v>
      </c>
      <c r="C151" s="5" t="s">
        <v>157</v>
      </c>
      <c r="D151" s="5" t="s">
        <v>2682</v>
      </c>
      <c r="E151" s="5" t="s">
        <v>2683</v>
      </c>
      <c r="F151" s="5">
        <v>18</v>
      </c>
      <c r="G151" s="5">
        <v>108</v>
      </c>
    </row>
    <row r="152" spans="1:7" ht="16.5">
      <c r="A152" s="5" t="s">
        <v>2684</v>
      </c>
      <c r="B152" s="10" t="s">
        <v>2685</v>
      </c>
      <c r="C152" s="5" t="s">
        <v>158</v>
      </c>
      <c r="D152" s="5" t="s">
        <v>2686</v>
      </c>
      <c r="E152" s="5" t="s">
        <v>2683</v>
      </c>
      <c r="F152" s="5">
        <v>38</v>
      </c>
      <c r="G152" s="5">
        <v>228</v>
      </c>
    </row>
    <row r="153" spans="1:7" ht="16.5">
      <c r="A153" s="5" t="s">
        <v>2687</v>
      </c>
      <c r="B153" s="10" t="s">
        <v>2688</v>
      </c>
      <c r="C153" s="5" t="s">
        <v>159</v>
      </c>
      <c r="D153" s="5" t="s">
        <v>2689</v>
      </c>
      <c r="E153" s="5" t="s">
        <v>2690</v>
      </c>
      <c r="F153" s="5">
        <v>18</v>
      </c>
      <c r="G153" s="5">
        <v>108</v>
      </c>
    </row>
    <row r="154" spans="1:7" ht="16.5">
      <c r="A154" s="5" t="s">
        <v>2691</v>
      </c>
      <c r="B154" s="10" t="s">
        <v>2692</v>
      </c>
      <c r="C154" s="5" t="s">
        <v>160</v>
      </c>
      <c r="D154" s="5" t="s">
        <v>2693</v>
      </c>
      <c r="E154" s="5" t="s">
        <v>2690</v>
      </c>
      <c r="F154" s="5">
        <v>20</v>
      </c>
      <c r="G154" s="5">
        <v>120</v>
      </c>
    </row>
    <row r="155" spans="1:7" ht="16.5">
      <c r="A155" s="5" t="s">
        <v>2694</v>
      </c>
      <c r="B155" s="10" t="s">
        <v>2695</v>
      </c>
      <c r="C155" s="5" t="s">
        <v>161</v>
      </c>
      <c r="D155" s="5" t="s">
        <v>2696</v>
      </c>
      <c r="E155" s="5" t="s">
        <v>2690</v>
      </c>
      <c r="F155" s="5">
        <v>32</v>
      </c>
      <c r="G155" s="5">
        <v>192</v>
      </c>
    </row>
    <row r="156" spans="1:7" ht="16.5">
      <c r="A156" s="5" t="s">
        <v>2697</v>
      </c>
      <c r="B156" s="10" t="s">
        <v>2698</v>
      </c>
      <c r="C156" s="5" t="s">
        <v>162</v>
      </c>
      <c r="D156" s="5" t="s">
        <v>2699</v>
      </c>
      <c r="E156" s="5" t="s">
        <v>2700</v>
      </c>
      <c r="F156" s="5"/>
      <c r="G156" s="5">
        <v>185</v>
      </c>
    </row>
    <row r="157" spans="1:7" ht="16.5">
      <c r="A157" s="5" t="s">
        <v>2701</v>
      </c>
      <c r="B157" s="10" t="s">
        <v>2702</v>
      </c>
      <c r="C157" s="5" t="s">
        <v>163</v>
      </c>
      <c r="D157" s="5" t="s">
        <v>2703</v>
      </c>
      <c r="E157" s="5" t="s">
        <v>2704</v>
      </c>
      <c r="F157" s="5">
        <v>64</v>
      </c>
      <c r="G157" s="5">
        <v>384</v>
      </c>
    </row>
    <row r="158" spans="1:7" ht="16.5">
      <c r="A158" s="5" t="s">
        <v>2705</v>
      </c>
      <c r="B158" s="10" t="s">
        <v>2706</v>
      </c>
      <c r="C158" s="5" t="s">
        <v>164</v>
      </c>
      <c r="D158" s="5" t="s">
        <v>2707</v>
      </c>
      <c r="E158" s="5" t="s">
        <v>2704</v>
      </c>
      <c r="F158" s="5">
        <v>39.8</v>
      </c>
      <c r="G158" s="5">
        <v>239</v>
      </c>
    </row>
    <row r="159" spans="1:7" ht="16.5">
      <c r="A159" s="5" t="s">
        <v>2708</v>
      </c>
      <c r="B159" s="10" t="s">
        <v>2709</v>
      </c>
      <c r="C159" s="5" t="s">
        <v>165</v>
      </c>
      <c r="D159" s="5" t="s">
        <v>2710</v>
      </c>
      <c r="E159" s="5" t="s">
        <v>2704</v>
      </c>
      <c r="F159" s="5">
        <v>15</v>
      </c>
      <c r="G159" s="5">
        <v>90</v>
      </c>
    </row>
    <row r="160" spans="1:7" ht="16.5">
      <c r="A160" s="5" t="s">
        <v>2711</v>
      </c>
      <c r="B160" s="10" t="s">
        <v>2712</v>
      </c>
      <c r="C160" s="5" t="s">
        <v>166</v>
      </c>
      <c r="D160" s="5" t="s">
        <v>2713</v>
      </c>
      <c r="E160" s="5" t="s">
        <v>2700</v>
      </c>
      <c r="F160" s="5">
        <v>22</v>
      </c>
      <c r="G160" s="5">
        <v>132</v>
      </c>
    </row>
    <row r="161" spans="1:7" ht="16.5">
      <c r="A161" s="5" t="s">
        <v>2714</v>
      </c>
      <c r="B161" s="10" t="s">
        <v>2715</v>
      </c>
      <c r="C161" s="5" t="s">
        <v>167</v>
      </c>
      <c r="D161" s="5" t="s">
        <v>2716</v>
      </c>
      <c r="E161" s="5" t="s">
        <v>2700</v>
      </c>
      <c r="F161" s="5">
        <v>46</v>
      </c>
      <c r="G161" s="5">
        <v>276</v>
      </c>
    </row>
    <row r="162" spans="1:7" ht="16.5">
      <c r="A162" s="5" t="s">
        <v>2717</v>
      </c>
      <c r="B162" s="10" t="s">
        <v>2718</v>
      </c>
      <c r="C162" s="5" t="s">
        <v>168</v>
      </c>
      <c r="D162" s="5" t="s">
        <v>2719</v>
      </c>
      <c r="E162" s="5" t="s">
        <v>2704</v>
      </c>
      <c r="F162" s="5">
        <v>48</v>
      </c>
      <c r="G162" s="5">
        <v>288</v>
      </c>
    </row>
    <row r="163" spans="1:7" ht="16.5">
      <c r="A163" s="5" t="s">
        <v>2720</v>
      </c>
      <c r="B163" s="10" t="s">
        <v>2721</v>
      </c>
      <c r="C163" s="5" t="s">
        <v>169</v>
      </c>
      <c r="D163" s="5" t="s">
        <v>2722</v>
      </c>
      <c r="E163" s="5" t="s">
        <v>2700</v>
      </c>
      <c r="F163" s="5">
        <v>19</v>
      </c>
      <c r="G163" s="5">
        <v>114</v>
      </c>
    </row>
    <row r="164" spans="1:7" ht="16.5">
      <c r="A164" s="5" t="s">
        <v>2723</v>
      </c>
      <c r="B164" s="10" t="s">
        <v>2724</v>
      </c>
      <c r="C164" s="5" t="s">
        <v>170</v>
      </c>
      <c r="D164" s="5" t="s">
        <v>2725</v>
      </c>
      <c r="E164" s="5" t="s">
        <v>2704</v>
      </c>
      <c r="F164" s="5">
        <v>36</v>
      </c>
      <c r="G164" s="5">
        <v>216</v>
      </c>
    </row>
    <row r="165" spans="1:7" ht="16.5">
      <c r="A165" s="5" t="s">
        <v>2726</v>
      </c>
      <c r="B165" s="10" t="s">
        <v>2727</v>
      </c>
      <c r="C165" s="5" t="s">
        <v>171</v>
      </c>
      <c r="D165" s="5" t="s">
        <v>2728</v>
      </c>
      <c r="E165" s="5" t="s">
        <v>2700</v>
      </c>
      <c r="F165" s="5">
        <v>39.8</v>
      </c>
      <c r="G165" s="5">
        <v>239</v>
      </c>
    </row>
    <row r="166" spans="1:7" ht="16.5">
      <c r="A166" s="5" t="s">
        <v>2729</v>
      </c>
      <c r="B166" s="10" t="s">
        <v>2730</v>
      </c>
      <c r="C166" s="5" t="s">
        <v>172</v>
      </c>
      <c r="D166" s="5" t="s">
        <v>2731</v>
      </c>
      <c r="E166" s="5" t="s">
        <v>2700</v>
      </c>
      <c r="F166" s="5">
        <v>38</v>
      </c>
      <c r="G166" s="5">
        <v>228</v>
      </c>
    </row>
    <row r="167" spans="1:7" ht="16.5">
      <c r="A167" s="5" t="s">
        <v>2732</v>
      </c>
      <c r="B167" s="10" t="s">
        <v>2733</v>
      </c>
      <c r="C167" s="5" t="s">
        <v>173</v>
      </c>
      <c r="D167" s="5" t="s">
        <v>2734</v>
      </c>
      <c r="E167" s="5" t="s">
        <v>2700</v>
      </c>
      <c r="F167" s="5">
        <v>35</v>
      </c>
      <c r="G167" s="5">
        <v>210</v>
      </c>
    </row>
    <row r="168" spans="1:7" ht="16.5">
      <c r="A168" s="5" t="s">
        <v>2735</v>
      </c>
      <c r="B168" s="10" t="s">
        <v>2736</v>
      </c>
      <c r="C168" s="5" t="s">
        <v>174</v>
      </c>
      <c r="D168" s="5" t="s">
        <v>2737</v>
      </c>
      <c r="E168" s="5" t="s">
        <v>2700</v>
      </c>
      <c r="F168" s="5">
        <v>49</v>
      </c>
      <c r="G168" s="5">
        <v>294</v>
      </c>
    </row>
    <row r="169" spans="1:7" ht="16.5">
      <c r="A169" s="5" t="s">
        <v>2738</v>
      </c>
      <c r="B169" s="10" t="s">
        <v>2739</v>
      </c>
      <c r="C169" s="5" t="s">
        <v>175</v>
      </c>
      <c r="D169" s="5" t="s">
        <v>2740</v>
      </c>
      <c r="E169" s="5" t="s">
        <v>2700</v>
      </c>
      <c r="F169" s="5">
        <v>20</v>
      </c>
      <c r="G169" s="5">
        <v>120</v>
      </c>
    </row>
    <row r="170" spans="1:7" ht="16.5">
      <c r="A170" s="5" t="s">
        <v>2741</v>
      </c>
      <c r="B170" s="10" t="s">
        <v>2742</v>
      </c>
      <c r="C170" s="5" t="s">
        <v>176</v>
      </c>
      <c r="D170" s="5" t="s">
        <v>2743</v>
      </c>
      <c r="E170" s="5" t="s">
        <v>2700</v>
      </c>
      <c r="F170" s="5">
        <v>21</v>
      </c>
      <c r="G170" s="5">
        <v>126</v>
      </c>
    </row>
    <row r="171" spans="1:7" ht="16.5">
      <c r="A171" s="5" t="s">
        <v>2744</v>
      </c>
      <c r="B171" s="10" t="s">
        <v>2745</v>
      </c>
      <c r="C171" s="5" t="s">
        <v>177</v>
      </c>
      <c r="D171" s="5" t="s">
        <v>2746</v>
      </c>
      <c r="E171" s="5" t="s">
        <v>2700</v>
      </c>
      <c r="F171" s="5">
        <v>36</v>
      </c>
      <c r="G171" s="5">
        <v>216</v>
      </c>
    </row>
    <row r="172" spans="1:7" ht="16.5">
      <c r="A172" s="5" t="s">
        <v>2747</v>
      </c>
      <c r="B172" s="10" t="s">
        <v>2748</v>
      </c>
      <c r="C172" s="5" t="s">
        <v>178</v>
      </c>
      <c r="D172" s="5" t="s">
        <v>2749</v>
      </c>
      <c r="E172" s="5" t="s">
        <v>2700</v>
      </c>
      <c r="F172" s="5">
        <v>44.8</v>
      </c>
      <c r="G172" s="5">
        <v>269</v>
      </c>
    </row>
    <row r="173" spans="1:7" ht="16.5">
      <c r="A173" s="5" t="s">
        <v>2750</v>
      </c>
      <c r="B173" s="10" t="s">
        <v>2751</v>
      </c>
      <c r="C173" s="5" t="s">
        <v>179</v>
      </c>
      <c r="D173" s="5" t="s">
        <v>2752</v>
      </c>
      <c r="E173" s="5" t="s">
        <v>2700</v>
      </c>
      <c r="F173" s="5">
        <v>18</v>
      </c>
      <c r="G173" s="5">
        <v>108</v>
      </c>
    </row>
    <row r="174" spans="1:7" ht="16.5">
      <c r="A174" s="5" t="s">
        <v>2753</v>
      </c>
      <c r="B174" s="10" t="s">
        <v>2236</v>
      </c>
      <c r="C174" s="5" t="s">
        <v>180</v>
      </c>
      <c r="D174" s="5" t="s">
        <v>2754</v>
      </c>
      <c r="E174" s="5" t="s">
        <v>2755</v>
      </c>
      <c r="F174" s="5">
        <v>37</v>
      </c>
      <c r="G174" s="5">
        <v>222</v>
      </c>
    </row>
    <row r="175" spans="1:7" ht="16.5">
      <c r="A175" s="5" t="s">
        <v>2756</v>
      </c>
      <c r="B175" s="10" t="s">
        <v>2757</v>
      </c>
      <c r="C175" s="5" t="s">
        <v>181</v>
      </c>
      <c r="D175" s="5" t="s">
        <v>2758</v>
      </c>
      <c r="E175" s="5" t="s">
        <v>2400</v>
      </c>
      <c r="F175" s="5">
        <v>19.8</v>
      </c>
      <c r="G175" s="5">
        <v>119</v>
      </c>
    </row>
    <row r="176" spans="1:7" ht="16.5">
      <c r="A176" s="5" t="s">
        <v>2759</v>
      </c>
      <c r="B176" s="10" t="s">
        <v>2760</v>
      </c>
      <c r="C176" s="5" t="s">
        <v>182</v>
      </c>
      <c r="D176" s="5" t="s">
        <v>2761</v>
      </c>
      <c r="E176" s="5" t="s">
        <v>2762</v>
      </c>
      <c r="F176" s="5">
        <v>19.8</v>
      </c>
      <c r="G176" s="5">
        <v>119</v>
      </c>
    </row>
    <row r="177" spans="1:7" ht="16.5">
      <c r="A177" s="5" t="s">
        <v>2763</v>
      </c>
      <c r="B177" s="10" t="s">
        <v>2764</v>
      </c>
      <c r="C177" s="5" t="s">
        <v>183</v>
      </c>
      <c r="D177" s="5" t="s">
        <v>2765</v>
      </c>
      <c r="E177" s="5" t="s">
        <v>2766</v>
      </c>
      <c r="F177" s="5">
        <v>45</v>
      </c>
      <c r="G177" s="5">
        <v>270</v>
      </c>
    </row>
    <row r="178" spans="1:7" ht="16.5">
      <c r="A178" s="5" t="s">
        <v>2767</v>
      </c>
      <c r="B178" s="10" t="s">
        <v>2768</v>
      </c>
      <c r="C178" s="5" t="s">
        <v>184</v>
      </c>
      <c r="D178" s="5" t="s">
        <v>2236</v>
      </c>
      <c r="E178" s="5" t="s">
        <v>2769</v>
      </c>
      <c r="F178" s="5">
        <v>39</v>
      </c>
      <c r="G178" s="5">
        <v>234</v>
      </c>
    </row>
    <row r="179" spans="1:7" ht="16.5">
      <c r="A179" s="5" t="s">
        <v>2770</v>
      </c>
      <c r="B179" s="10" t="s">
        <v>2771</v>
      </c>
      <c r="C179" s="5" t="s">
        <v>185</v>
      </c>
      <c r="D179" s="5" t="s">
        <v>2236</v>
      </c>
      <c r="E179" s="5" t="s">
        <v>2769</v>
      </c>
      <c r="F179" s="5">
        <v>88</v>
      </c>
      <c r="G179" s="5">
        <v>528</v>
      </c>
    </row>
    <row r="180" spans="1:7" ht="16.5">
      <c r="A180" s="5" t="s">
        <v>2772</v>
      </c>
      <c r="B180" s="10" t="s">
        <v>2773</v>
      </c>
      <c r="C180" s="5" t="s">
        <v>186</v>
      </c>
      <c r="D180" s="5" t="s">
        <v>2774</v>
      </c>
      <c r="E180" s="5" t="s">
        <v>2775</v>
      </c>
      <c r="F180" s="5">
        <v>76</v>
      </c>
      <c r="G180" s="5">
        <v>456</v>
      </c>
    </row>
    <row r="181" spans="1:7" ht="16.5">
      <c r="A181" s="5" t="s">
        <v>2776</v>
      </c>
      <c r="B181" s="10" t="s">
        <v>2777</v>
      </c>
      <c r="C181" s="5" t="s">
        <v>187</v>
      </c>
      <c r="D181" s="5" t="s">
        <v>2778</v>
      </c>
      <c r="E181" s="5" t="s">
        <v>2775</v>
      </c>
      <c r="F181" s="5">
        <v>80</v>
      </c>
      <c r="G181" s="5">
        <v>480</v>
      </c>
    </row>
    <row r="182" spans="1:7" ht="16.5">
      <c r="A182" s="5" t="s">
        <v>2779</v>
      </c>
      <c r="B182" s="10" t="s">
        <v>2780</v>
      </c>
      <c r="C182" s="5" t="s">
        <v>188</v>
      </c>
      <c r="D182" s="5" t="s">
        <v>2781</v>
      </c>
      <c r="E182" s="5" t="s">
        <v>2769</v>
      </c>
      <c r="F182" s="5">
        <v>46</v>
      </c>
      <c r="G182" s="5">
        <v>276</v>
      </c>
    </row>
    <row r="183" spans="1:7" ht="16.5">
      <c r="A183" s="5" t="s">
        <v>2782</v>
      </c>
      <c r="B183" s="10" t="s">
        <v>2783</v>
      </c>
      <c r="C183" s="5" t="s">
        <v>189</v>
      </c>
      <c r="D183" s="5" t="s">
        <v>2784</v>
      </c>
      <c r="E183" s="5" t="s">
        <v>2785</v>
      </c>
      <c r="F183" s="5">
        <v>30</v>
      </c>
      <c r="G183" s="5">
        <v>180</v>
      </c>
    </row>
    <row r="184" spans="1:7" ht="16.5">
      <c r="A184" s="5" t="s">
        <v>2786</v>
      </c>
      <c r="B184" s="10" t="s">
        <v>2787</v>
      </c>
      <c r="C184" s="5" t="s">
        <v>190</v>
      </c>
      <c r="D184" s="5" t="s">
        <v>2788</v>
      </c>
      <c r="E184" s="5" t="s">
        <v>2789</v>
      </c>
      <c r="F184" s="5">
        <v>38</v>
      </c>
      <c r="G184" s="5">
        <v>228</v>
      </c>
    </row>
    <row r="185" spans="1:7" ht="16.5">
      <c r="A185" s="5" t="s">
        <v>2790</v>
      </c>
      <c r="B185" s="10" t="s">
        <v>2791</v>
      </c>
      <c r="C185" s="5" t="s">
        <v>191</v>
      </c>
      <c r="D185" s="5" t="s">
        <v>2792</v>
      </c>
      <c r="E185" s="5" t="s">
        <v>2793</v>
      </c>
      <c r="F185" s="5">
        <v>48</v>
      </c>
      <c r="G185" s="5">
        <v>288</v>
      </c>
    </row>
    <row r="186" spans="1:7" ht="16.5">
      <c r="A186" s="5" t="s">
        <v>2794</v>
      </c>
      <c r="B186" s="10" t="s">
        <v>2795</v>
      </c>
      <c r="C186" s="5" t="s">
        <v>192</v>
      </c>
      <c r="D186" s="5" t="s">
        <v>2796</v>
      </c>
      <c r="E186" s="5" t="s">
        <v>2793</v>
      </c>
      <c r="F186" s="5">
        <v>38</v>
      </c>
      <c r="G186" s="5">
        <v>228</v>
      </c>
    </row>
    <row r="187" spans="1:7" ht="16.5">
      <c r="A187" s="5" t="s">
        <v>2797</v>
      </c>
      <c r="B187" s="10" t="s">
        <v>2798</v>
      </c>
      <c r="C187" s="5" t="s">
        <v>193</v>
      </c>
      <c r="D187" s="5" t="s">
        <v>2799</v>
      </c>
      <c r="E187" s="5" t="s">
        <v>2793</v>
      </c>
      <c r="F187" s="5">
        <v>29</v>
      </c>
      <c r="G187" s="5">
        <v>174</v>
      </c>
    </row>
    <row r="188" spans="1:7" ht="16.5">
      <c r="A188" s="5" t="s">
        <v>2800</v>
      </c>
      <c r="B188" s="10" t="s">
        <v>2801</v>
      </c>
      <c r="C188" s="5" t="s">
        <v>194</v>
      </c>
      <c r="D188" s="5" t="s">
        <v>2802</v>
      </c>
      <c r="E188" s="5" t="s">
        <v>2803</v>
      </c>
      <c r="F188" s="5">
        <v>127</v>
      </c>
      <c r="G188" s="5">
        <v>762</v>
      </c>
    </row>
    <row r="189" spans="1:7" ht="16.5">
      <c r="A189" s="5" t="s">
        <v>2804</v>
      </c>
      <c r="B189" s="10" t="s">
        <v>2805</v>
      </c>
      <c r="C189" s="5" t="s">
        <v>195</v>
      </c>
      <c r="D189" s="5" t="s">
        <v>2806</v>
      </c>
      <c r="E189" s="5" t="s">
        <v>2803</v>
      </c>
      <c r="F189" s="5">
        <v>188</v>
      </c>
      <c r="G189" s="5">
        <v>1128</v>
      </c>
    </row>
    <row r="190" spans="1:7" ht="16.5">
      <c r="A190" s="5" t="s">
        <v>2807</v>
      </c>
      <c r="B190" s="10" t="s">
        <v>2808</v>
      </c>
      <c r="C190" s="5" t="s">
        <v>196</v>
      </c>
      <c r="D190" s="5" t="s">
        <v>2806</v>
      </c>
      <c r="E190" s="5" t="s">
        <v>2803</v>
      </c>
      <c r="F190" s="5">
        <v>184</v>
      </c>
      <c r="G190" s="5">
        <v>1104</v>
      </c>
    </row>
    <row r="191" spans="1:7" ht="16.5">
      <c r="A191" s="5" t="s">
        <v>2809</v>
      </c>
      <c r="B191" s="10" t="s">
        <v>2810</v>
      </c>
      <c r="C191" s="5" t="s">
        <v>197</v>
      </c>
      <c r="D191" s="5" t="s">
        <v>2806</v>
      </c>
      <c r="E191" s="5" t="s">
        <v>2803</v>
      </c>
      <c r="F191" s="5">
        <v>215</v>
      </c>
      <c r="G191" s="5">
        <v>1290</v>
      </c>
    </row>
    <row r="192" spans="1:7" ht="16.5">
      <c r="A192" s="5" t="s">
        <v>2811</v>
      </c>
      <c r="B192" s="10" t="s">
        <v>2812</v>
      </c>
      <c r="C192" s="5" t="s">
        <v>198</v>
      </c>
      <c r="D192" s="5" t="s">
        <v>2806</v>
      </c>
      <c r="E192" s="5" t="s">
        <v>2803</v>
      </c>
      <c r="F192" s="5">
        <v>208</v>
      </c>
      <c r="G192" s="5">
        <v>1248</v>
      </c>
    </row>
    <row r="193" spans="1:7" ht="16.5">
      <c r="A193" s="5" t="s">
        <v>2813</v>
      </c>
      <c r="B193" s="10" t="s">
        <v>2814</v>
      </c>
      <c r="C193" s="5" t="s">
        <v>199</v>
      </c>
      <c r="D193" s="5" t="s">
        <v>2806</v>
      </c>
      <c r="E193" s="5" t="s">
        <v>2803</v>
      </c>
      <c r="F193" s="5">
        <v>198</v>
      </c>
      <c r="G193" s="5">
        <v>1188</v>
      </c>
    </row>
    <row r="194" spans="1:7" ht="16.5">
      <c r="A194" s="5" t="s">
        <v>2815</v>
      </c>
      <c r="B194" s="10" t="s">
        <v>2816</v>
      </c>
      <c r="C194" s="5" t="s">
        <v>200</v>
      </c>
      <c r="D194" s="5" t="s">
        <v>2806</v>
      </c>
      <c r="E194" s="5" t="s">
        <v>2803</v>
      </c>
      <c r="F194" s="5">
        <v>225</v>
      </c>
      <c r="G194" s="5">
        <v>1350</v>
      </c>
    </row>
    <row r="195" spans="1:7" ht="16.5">
      <c r="A195" s="5" t="s">
        <v>2817</v>
      </c>
      <c r="B195" s="10" t="s">
        <v>2818</v>
      </c>
      <c r="C195" s="5" t="s">
        <v>201</v>
      </c>
      <c r="D195" s="5" t="s">
        <v>2806</v>
      </c>
      <c r="E195" s="5" t="s">
        <v>2803</v>
      </c>
      <c r="F195" s="5">
        <v>188</v>
      </c>
      <c r="G195" s="5">
        <v>1128</v>
      </c>
    </row>
    <row r="196" spans="1:7" ht="16.5">
      <c r="A196" s="5" t="s">
        <v>2819</v>
      </c>
      <c r="B196" s="10" t="s">
        <v>2820</v>
      </c>
      <c r="C196" s="5" t="s">
        <v>202</v>
      </c>
      <c r="D196" s="5" t="s">
        <v>2806</v>
      </c>
      <c r="E196" s="5" t="s">
        <v>2803</v>
      </c>
      <c r="F196" s="5">
        <v>188</v>
      </c>
      <c r="G196" s="5">
        <v>1128</v>
      </c>
    </row>
    <row r="197" spans="1:7" ht="16.5">
      <c r="A197" s="5" t="s">
        <v>2821</v>
      </c>
      <c r="B197" s="10" t="s">
        <v>2822</v>
      </c>
      <c r="C197" s="5" t="s">
        <v>203</v>
      </c>
      <c r="D197" s="5" t="s">
        <v>2806</v>
      </c>
      <c r="E197" s="5" t="s">
        <v>2803</v>
      </c>
      <c r="F197" s="5">
        <v>216</v>
      </c>
      <c r="G197" s="5">
        <v>1296</v>
      </c>
    </row>
    <row r="198" spans="1:7" ht="16.5">
      <c r="A198" s="5" t="s">
        <v>2823</v>
      </c>
      <c r="B198" s="10" t="s">
        <v>2824</v>
      </c>
      <c r="C198" s="5" t="s">
        <v>204</v>
      </c>
      <c r="D198" s="5" t="s">
        <v>2825</v>
      </c>
      <c r="E198" s="5" t="s">
        <v>2826</v>
      </c>
      <c r="F198" s="5">
        <v>58</v>
      </c>
      <c r="G198" s="5">
        <v>348</v>
      </c>
    </row>
    <row r="199" spans="1:7" ht="16.5">
      <c r="A199" s="5" t="s">
        <v>2827</v>
      </c>
      <c r="B199" s="10" t="s">
        <v>2828</v>
      </c>
      <c r="C199" s="5" t="s">
        <v>205</v>
      </c>
      <c r="D199" s="5" t="s">
        <v>2829</v>
      </c>
      <c r="E199" s="5" t="s">
        <v>2826</v>
      </c>
      <c r="F199" s="5">
        <v>26.8</v>
      </c>
      <c r="G199" s="5">
        <v>161</v>
      </c>
    </row>
    <row r="200" spans="1:7" ht="16.5">
      <c r="A200" s="5" t="s">
        <v>2830</v>
      </c>
      <c r="B200" s="10" t="s">
        <v>2831</v>
      </c>
      <c r="C200" s="5" t="s">
        <v>206</v>
      </c>
      <c r="D200" s="5" t="s">
        <v>2832</v>
      </c>
      <c r="E200" s="5" t="s">
        <v>2833</v>
      </c>
      <c r="F200" s="5">
        <v>34.8</v>
      </c>
      <c r="G200" s="5">
        <v>209</v>
      </c>
    </row>
    <row r="201" spans="1:7" ht="16.5">
      <c r="A201" s="5" t="s">
        <v>2834</v>
      </c>
      <c r="B201" s="10" t="s">
        <v>2835</v>
      </c>
      <c r="C201" s="5" t="s">
        <v>207</v>
      </c>
      <c r="D201" s="5" t="s">
        <v>2836</v>
      </c>
      <c r="E201" s="5" t="s">
        <v>2837</v>
      </c>
      <c r="F201" s="5">
        <v>19.9</v>
      </c>
      <c r="G201" s="5">
        <v>119</v>
      </c>
    </row>
    <row r="202" spans="1:7" ht="16.5">
      <c r="A202" s="5" t="s">
        <v>2838</v>
      </c>
      <c r="B202" s="10" t="s">
        <v>2839</v>
      </c>
      <c r="C202" s="5" t="s">
        <v>2840</v>
      </c>
      <c r="D202" s="5" t="s">
        <v>2236</v>
      </c>
      <c r="E202" s="5" t="s">
        <v>2841</v>
      </c>
      <c r="F202" s="5">
        <v>22</v>
      </c>
      <c r="G202" s="5">
        <v>132</v>
      </c>
    </row>
    <row r="203" spans="1:7" ht="16.5">
      <c r="A203" s="5" t="s">
        <v>2842</v>
      </c>
      <c r="B203" s="10" t="s">
        <v>2236</v>
      </c>
      <c r="C203" s="5" t="s">
        <v>208</v>
      </c>
      <c r="D203" s="5" t="s">
        <v>2843</v>
      </c>
      <c r="E203" s="5" t="s">
        <v>2841</v>
      </c>
      <c r="F203" s="5">
        <v>19</v>
      </c>
      <c r="G203" s="5">
        <v>114</v>
      </c>
    </row>
    <row r="204" spans="1:7" ht="16.5">
      <c r="A204" s="5" t="s">
        <v>2844</v>
      </c>
      <c r="B204" s="10" t="s">
        <v>2845</v>
      </c>
      <c r="C204" s="5" t="s">
        <v>209</v>
      </c>
      <c r="D204" s="5" t="s">
        <v>2846</v>
      </c>
      <c r="E204" s="5" t="s">
        <v>2847</v>
      </c>
      <c r="F204" s="5">
        <v>99</v>
      </c>
      <c r="G204" s="5">
        <v>594</v>
      </c>
    </row>
    <row r="205" spans="1:7" ht="16.5">
      <c r="A205" s="5" t="s">
        <v>2848</v>
      </c>
      <c r="B205" s="10" t="s">
        <v>2849</v>
      </c>
      <c r="C205" s="5" t="s">
        <v>210</v>
      </c>
      <c r="D205" s="5" t="s">
        <v>2850</v>
      </c>
      <c r="E205" s="5" t="s">
        <v>2847</v>
      </c>
      <c r="F205" s="5">
        <v>36</v>
      </c>
      <c r="G205" s="5">
        <v>216</v>
      </c>
    </row>
    <row r="206" spans="1:7" ht="16.5">
      <c r="A206" s="5" t="s">
        <v>2851</v>
      </c>
      <c r="B206" s="10" t="s">
        <v>2852</v>
      </c>
      <c r="C206" s="5" t="s">
        <v>2853</v>
      </c>
      <c r="D206" s="5" t="s">
        <v>2854</v>
      </c>
      <c r="E206" s="5" t="s">
        <v>2847</v>
      </c>
      <c r="F206" s="5">
        <v>29.8</v>
      </c>
      <c r="G206" s="5">
        <v>179</v>
      </c>
    </row>
    <row r="207" spans="1:7" ht="16.5">
      <c r="A207" s="5" t="s">
        <v>2855</v>
      </c>
      <c r="B207" s="10" t="s">
        <v>2856</v>
      </c>
      <c r="C207" s="5" t="s">
        <v>211</v>
      </c>
      <c r="D207" s="5" t="s">
        <v>2857</v>
      </c>
      <c r="E207" s="5" t="s">
        <v>2847</v>
      </c>
      <c r="F207" s="5">
        <v>35</v>
      </c>
      <c r="G207" s="5">
        <v>210</v>
      </c>
    </row>
    <row r="208" spans="1:7" ht="16.5">
      <c r="A208" s="5" t="s">
        <v>2858</v>
      </c>
      <c r="B208" s="10" t="s">
        <v>2859</v>
      </c>
      <c r="C208" s="5" t="s">
        <v>212</v>
      </c>
      <c r="D208" s="5" t="s">
        <v>2860</v>
      </c>
      <c r="E208" s="5" t="s">
        <v>2847</v>
      </c>
      <c r="F208" s="5">
        <v>35</v>
      </c>
      <c r="G208" s="5">
        <v>210</v>
      </c>
    </row>
    <row r="209" spans="1:7" ht="16.5">
      <c r="A209" s="5" t="s">
        <v>2861</v>
      </c>
      <c r="B209" s="10" t="s">
        <v>2862</v>
      </c>
      <c r="C209" s="5" t="s">
        <v>213</v>
      </c>
      <c r="D209" s="5" t="s">
        <v>2863</v>
      </c>
      <c r="E209" s="5" t="s">
        <v>2847</v>
      </c>
      <c r="F209" s="5">
        <v>29</v>
      </c>
      <c r="G209" s="5">
        <v>174</v>
      </c>
    </row>
    <row r="210" spans="1:7" ht="16.5">
      <c r="A210" s="5" t="s">
        <v>2864</v>
      </c>
      <c r="B210" s="10" t="s">
        <v>2865</v>
      </c>
      <c r="C210" s="5" t="s">
        <v>214</v>
      </c>
      <c r="D210" s="5" t="s">
        <v>2866</v>
      </c>
      <c r="E210" s="5" t="s">
        <v>2847</v>
      </c>
      <c r="F210" s="5">
        <v>27.8</v>
      </c>
      <c r="G210" s="5">
        <v>167</v>
      </c>
    </row>
    <row r="211" spans="1:7" ht="16.5">
      <c r="A211" s="5" t="s">
        <v>2867</v>
      </c>
      <c r="B211" s="10" t="s">
        <v>2868</v>
      </c>
      <c r="C211" s="5" t="s">
        <v>215</v>
      </c>
      <c r="D211" s="5" t="s">
        <v>2869</v>
      </c>
      <c r="E211" s="5" t="s">
        <v>2847</v>
      </c>
      <c r="F211" s="5">
        <v>39.8</v>
      </c>
      <c r="G211" s="5">
        <v>239</v>
      </c>
    </row>
    <row r="212" spans="1:7" ht="16.5">
      <c r="A212" s="5" t="s">
        <v>2870</v>
      </c>
      <c r="B212" s="10" t="s">
        <v>2871</v>
      </c>
      <c r="C212" s="5" t="s">
        <v>216</v>
      </c>
      <c r="D212" s="5" t="s">
        <v>2872</v>
      </c>
      <c r="E212" s="5" t="s">
        <v>2847</v>
      </c>
      <c r="F212" s="5">
        <v>29</v>
      </c>
      <c r="G212" s="5">
        <v>174</v>
      </c>
    </row>
    <row r="213" spans="1:7" ht="16.5">
      <c r="A213" s="5" t="s">
        <v>2873</v>
      </c>
      <c r="B213" s="10" t="s">
        <v>2874</v>
      </c>
      <c r="C213" s="5" t="s">
        <v>217</v>
      </c>
      <c r="D213" s="5" t="s">
        <v>2875</v>
      </c>
      <c r="E213" s="5" t="s">
        <v>2847</v>
      </c>
      <c r="F213" s="5">
        <v>26</v>
      </c>
      <c r="G213" s="5">
        <v>156</v>
      </c>
    </row>
    <row r="214" spans="1:7" ht="16.5">
      <c r="A214" s="5" t="s">
        <v>2876</v>
      </c>
      <c r="B214" s="10" t="s">
        <v>2877</v>
      </c>
      <c r="C214" s="5" t="s">
        <v>218</v>
      </c>
      <c r="D214" s="5" t="s">
        <v>2878</v>
      </c>
      <c r="E214" s="5" t="s">
        <v>2847</v>
      </c>
      <c r="F214" s="5">
        <v>28</v>
      </c>
      <c r="G214" s="5">
        <v>168</v>
      </c>
    </row>
    <row r="215" spans="1:7" ht="16.5">
      <c r="A215" s="5" t="s">
        <v>2879</v>
      </c>
      <c r="B215" s="10" t="s">
        <v>2236</v>
      </c>
      <c r="C215" s="5" t="s">
        <v>219</v>
      </c>
      <c r="D215" s="5" t="s">
        <v>2236</v>
      </c>
      <c r="E215" s="5" t="s">
        <v>2880</v>
      </c>
      <c r="F215" s="5">
        <v>8</v>
      </c>
      <c r="G215" s="5">
        <v>48</v>
      </c>
    </row>
    <row r="216" spans="1:7" ht="16.5">
      <c r="A216" s="5" t="s">
        <v>2881</v>
      </c>
      <c r="B216" s="10" t="s">
        <v>2236</v>
      </c>
      <c r="C216" s="5" t="s">
        <v>220</v>
      </c>
      <c r="D216" s="5" t="s">
        <v>2236</v>
      </c>
      <c r="E216" s="5" t="s">
        <v>2880</v>
      </c>
      <c r="F216" s="5">
        <v>0</v>
      </c>
      <c r="G216" s="5">
        <v>48</v>
      </c>
    </row>
    <row r="217" spans="1:7" ht="16.5">
      <c r="A217" s="5" t="s">
        <v>2882</v>
      </c>
      <c r="B217" s="10" t="s">
        <v>2236</v>
      </c>
      <c r="C217" s="5" t="s">
        <v>221</v>
      </c>
      <c r="D217" s="5" t="s">
        <v>2236</v>
      </c>
      <c r="E217" s="5" t="s">
        <v>2880</v>
      </c>
      <c r="F217" s="5">
        <v>8</v>
      </c>
      <c r="G217" s="5">
        <v>48</v>
      </c>
    </row>
    <row r="218" spans="1:7" ht="16.5">
      <c r="A218" s="5" t="s">
        <v>2883</v>
      </c>
      <c r="B218" s="10" t="s">
        <v>2884</v>
      </c>
      <c r="C218" s="5" t="s">
        <v>222</v>
      </c>
      <c r="D218" s="5" t="s">
        <v>2885</v>
      </c>
      <c r="E218" s="5" t="s">
        <v>2880</v>
      </c>
      <c r="F218" s="5">
        <v>48</v>
      </c>
      <c r="G218" s="5">
        <v>288</v>
      </c>
    </row>
    <row r="219" spans="1:7" ht="16.5">
      <c r="A219" s="5" t="s">
        <v>2886</v>
      </c>
      <c r="B219" s="10" t="s">
        <v>2887</v>
      </c>
      <c r="C219" s="5" t="s">
        <v>223</v>
      </c>
      <c r="D219" s="5" t="s">
        <v>2888</v>
      </c>
      <c r="E219" s="5" t="s">
        <v>2880</v>
      </c>
      <c r="F219" s="5">
        <v>58</v>
      </c>
      <c r="G219" s="5">
        <v>348</v>
      </c>
    </row>
    <row r="220" spans="1:7" ht="16.5">
      <c r="A220" s="5" t="s">
        <v>2889</v>
      </c>
      <c r="B220" s="10" t="s">
        <v>2890</v>
      </c>
      <c r="C220" s="5" t="s">
        <v>224</v>
      </c>
      <c r="D220" s="5" t="s">
        <v>2891</v>
      </c>
      <c r="E220" s="5" t="s">
        <v>2892</v>
      </c>
      <c r="F220" s="5">
        <v>29</v>
      </c>
      <c r="G220" s="5">
        <v>174</v>
      </c>
    </row>
    <row r="221" spans="1:7" ht="16.5">
      <c r="A221" s="5" t="s">
        <v>2893</v>
      </c>
      <c r="B221" s="10" t="s">
        <v>2894</v>
      </c>
      <c r="C221" s="5" t="s">
        <v>225</v>
      </c>
      <c r="D221" s="5" t="s">
        <v>2895</v>
      </c>
      <c r="E221" s="5" t="s">
        <v>2896</v>
      </c>
      <c r="F221" s="5">
        <v>39</v>
      </c>
      <c r="G221" s="5">
        <v>234</v>
      </c>
    </row>
    <row r="222" spans="1:7" ht="16.5">
      <c r="A222" s="5" t="s">
        <v>2897</v>
      </c>
      <c r="B222" s="10" t="s">
        <v>2898</v>
      </c>
      <c r="C222" s="5" t="s">
        <v>226</v>
      </c>
      <c r="D222" s="5" t="s">
        <v>2899</v>
      </c>
      <c r="E222" s="5" t="s">
        <v>2896</v>
      </c>
      <c r="F222" s="5">
        <v>10</v>
      </c>
      <c r="G222" s="5">
        <v>60</v>
      </c>
    </row>
    <row r="223" spans="1:7" ht="16.5">
      <c r="A223" s="5" t="s">
        <v>2900</v>
      </c>
      <c r="B223" s="10" t="s">
        <v>2901</v>
      </c>
      <c r="C223" s="5" t="s">
        <v>227</v>
      </c>
      <c r="D223" s="5" t="s">
        <v>2902</v>
      </c>
      <c r="E223" s="5" t="s">
        <v>2896</v>
      </c>
      <c r="F223" s="5">
        <v>18</v>
      </c>
      <c r="G223" s="5">
        <v>108</v>
      </c>
    </row>
    <row r="224" spans="1:7" ht="16.5">
      <c r="A224" s="5" t="s">
        <v>2903</v>
      </c>
      <c r="B224" s="10" t="s">
        <v>2904</v>
      </c>
      <c r="C224" s="5" t="s">
        <v>228</v>
      </c>
      <c r="D224" s="5" t="s">
        <v>2905</v>
      </c>
      <c r="E224" s="5" t="s">
        <v>2896</v>
      </c>
      <c r="F224" s="5">
        <v>29.8</v>
      </c>
      <c r="G224" s="5">
        <v>179</v>
      </c>
    </row>
    <row r="225" spans="1:7" ht="16.5">
      <c r="A225" s="5" t="s">
        <v>2906</v>
      </c>
      <c r="B225" s="10" t="s">
        <v>2907</v>
      </c>
      <c r="C225" s="5" t="s">
        <v>229</v>
      </c>
      <c r="D225" s="5" t="s">
        <v>2908</v>
      </c>
      <c r="E225" s="5" t="s">
        <v>2896</v>
      </c>
      <c r="F225" s="5">
        <v>18</v>
      </c>
      <c r="G225" s="5">
        <v>108</v>
      </c>
    </row>
    <row r="226" spans="1:7" ht="16.5">
      <c r="A226" s="5" t="s">
        <v>2909</v>
      </c>
      <c r="B226" s="10" t="s">
        <v>2910</v>
      </c>
      <c r="C226" s="5" t="s">
        <v>2911</v>
      </c>
      <c r="D226" s="5" t="s">
        <v>2911</v>
      </c>
      <c r="E226" s="5" t="s">
        <v>2912</v>
      </c>
      <c r="F226" s="5">
        <v>26.8</v>
      </c>
      <c r="G226" s="5">
        <v>161</v>
      </c>
    </row>
    <row r="227" spans="1:7" ht="16.5">
      <c r="A227" s="5" t="s">
        <v>2913</v>
      </c>
      <c r="B227" s="10" t="s">
        <v>2914</v>
      </c>
      <c r="C227" s="5" t="s">
        <v>230</v>
      </c>
      <c r="D227" s="5" t="s">
        <v>2915</v>
      </c>
      <c r="E227" s="5" t="s">
        <v>2916</v>
      </c>
      <c r="F227" s="5">
        <v>39.8</v>
      </c>
      <c r="G227" s="5">
        <v>239</v>
      </c>
    </row>
    <row r="228" spans="1:7" ht="16.5">
      <c r="A228" s="5" t="s">
        <v>2917</v>
      </c>
      <c r="B228" s="10" t="s">
        <v>2918</v>
      </c>
      <c r="C228" s="5" t="s">
        <v>231</v>
      </c>
      <c r="D228" s="5" t="s">
        <v>2919</v>
      </c>
      <c r="E228" s="5" t="s">
        <v>2920</v>
      </c>
      <c r="F228" s="5">
        <v>80</v>
      </c>
      <c r="G228" s="5">
        <v>480</v>
      </c>
    </row>
    <row r="229" spans="1:7" ht="16.5">
      <c r="A229" s="5" t="s">
        <v>2921</v>
      </c>
      <c r="B229" s="10" t="s">
        <v>2922</v>
      </c>
      <c r="C229" s="5" t="s">
        <v>232</v>
      </c>
      <c r="D229" s="5" t="s">
        <v>2923</v>
      </c>
      <c r="E229" s="5" t="s">
        <v>2920</v>
      </c>
      <c r="F229" s="5">
        <v>80</v>
      </c>
      <c r="G229" s="5">
        <v>480</v>
      </c>
    </row>
    <row r="230" spans="1:7" ht="16.5">
      <c r="A230" s="5" t="s">
        <v>2924</v>
      </c>
      <c r="B230" s="10" t="s">
        <v>2925</v>
      </c>
      <c r="C230" s="5" t="s">
        <v>233</v>
      </c>
      <c r="D230" s="5" t="s">
        <v>2926</v>
      </c>
      <c r="E230" s="5" t="s">
        <v>2927</v>
      </c>
      <c r="F230" s="5">
        <v>60</v>
      </c>
      <c r="G230" s="5">
        <v>360</v>
      </c>
    </row>
    <row r="231" spans="1:7" ht="16.5">
      <c r="A231" s="5" t="s">
        <v>2928</v>
      </c>
      <c r="B231" s="10" t="s">
        <v>2929</v>
      </c>
      <c r="C231" s="5" t="s">
        <v>234</v>
      </c>
      <c r="D231" s="5" t="s">
        <v>2930</v>
      </c>
      <c r="E231" s="5" t="s">
        <v>2927</v>
      </c>
      <c r="F231" s="5">
        <v>32</v>
      </c>
      <c r="G231" s="5">
        <v>192</v>
      </c>
    </row>
    <row r="232" spans="1:7" ht="16.5">
      <c r="A232" s="5" t="s">
        <v>2931</v>
      </c>
      <c r="B232" s="10" t="s">
        <v>2932</v>
      </c>
      <c r="C232" s="5" t="s">
        <v>235</v>
      </c>
      <c r="D232" s="5" t="s">
        <v>2933</v>
      </c>
      <c r="E232" s="5" t="s">
        <v>2927</v>
      </c>
      <c r="F232" s="5">
        <v>25</v>
      </c>
      <c r="G232" s="5">
        <v>150</v>
      </c>
    </row>
    <row r="233" spans="1:7" ht="16.5">
      <c r="A233" s="5" t="s">
        <v>2934</v>
      </c>
      <c r="B233" s="10" t="s">
        <v>2935</v>
      </c>
      <c r="C233" s="5" t="s">
        <v>236</v>
      </c>
      <c r="D233" s="5" t="s">
        <v>2936</v>
      </c>
      <c r="E233" s="5" t="s">
        <v>2927</v>
      </c>
      <c r="F233" s="5">
        <v>35</v>
      </c>
      <c r="G233" s="5">
        <v>210</v>
      </c>
    </row>
    <row r="234" spans="1:7" ht="16.5">
      <c r="A234" s="5" t="s">
        <v>2937</v>
      </c>
      <c r="B234" s="10" t="s">
        <v>2938</v>
      </c>
      <c r="C234" s="5" t="s">
        <v>237</v>
      </c>
      <c r="D234" s="5" t="s">
        <v>2939</v>
      </c>
      <c r="E234" s="5" t="s">
        <v>2940</v>
      </c>
      <c r="F234" s="5">
        <v>28</v>
      </c>
      <c r="G234" s="5">
        <v>168</v>
      </c>
    </row>
    <row r="235" spans="1:7" ht="16.5">
      <c r="A235" s="5" t="s">
        <v>2941</v>
      </c>
      <c r="B235" s="10" t="s">
        <v>2942</v>
      </c>
      <c r="C235" s="5" t="s">
        <v>238</v>
      </c>
      <c r="D235" s="5" t="s">
        <v>2943</v>
      </c>
      <c r="E235" s="5" t="s">
        <v>2940</v>
      </c>
      <c r="F235" s="5">
        <v>42</v>
      </c>
      <c r="G235" s="5">
        <v>252</v>
      </c>
    </row>
    <row r="236" spans="1:7" ht="16.5">
      <c r="A236" s="5" t="s">
        <v>2944</v>
      </c>
      <c r="B236" s="10" t="s">
        <v>2945</v>
      </c>
      <c r="C236" s="5" t="s">
        <v>239</v>
      </c>
      <c r="D236" s="5" t="s">
        <v>2946</v>
      </c>
      <c r="E236" s="5" t="s">
        <v>2940</v>
      </c>
      <c r="F236" s="5">
        <v>27</v>
      </c>
      <c r="G236" s="5">
        <v>162</v>
      </c>
    </row>
    <row r="237" spans="1:7" ht="16.5">
      <c r="A237" s="5" t="s">
        <v>2947</v>
      </c>
      <c r="B237" s="10" t="s">
        <v>2948</v>
      </c>
      <c r="C237" s="5" t="s">
        <v>240</v>
      </c>
      <c r="D237" s="5" t="s">
        <v>2949</v>
      </c>
      <c r="E237" s="5" t="s">
        <v>2940</v>
      </c>
      <c r="F237" s="5">
        <v>34</v>
      </c>
      <c r="G237" s="5">
        <v>204</v>
      </c>
    </row>
    <row r="238" spans="1:7" ht="16.5">
      <c r="A238" s="5" t="s">
        <v>2950</v>
      </c>
      <c r="B238" s="10" t="s">
        <v>2951</v>
      </c>
      <c r="C238" s="5" t="s">
        <v>241</v>
      </c>
      <c r="D238" s="5" t="s">
        <v>2952</v>
      </c>
      <c r="E238" s="5" t="s">
        <v>2940</v>
      </c>
      <c r="F238" s="5">
        <v>38</v>
      </c>
      <c r="G238" s="5">
        <v>228</v>
      </c>
    </row>
    <row r="239" spans="1:7" ht="16.5">
      <c r="A239" s="5" t="s">
        <v>2953</v>
      </c>
      <c r="B239" s="10" t="s">
        <v>2954</v>
      </c>
      <c r="C239" s="5" t="s">
        <v>242</v>
      </c>
      <c r="D239" s="5" t="s">
        <v>2955</v>
      </c>
      <c r="E239" s="5" t="s">
        <v>2927</v>
      </c>
      <c r="F239" s="5">
        <v>20</v>
      </c>
      <c r="G239" s="5">
        <v>120</v>
      </c>
    </row>
    <row r="240" spans="1:7" ht="16.5">
      <c r="A240" s="5" t="s">
        <v>2956</v>
      </c>
      <c r="B240" s="10" t="s">
        <v>2957</v>
      </c>
      <c r="C240" s="5" t="s">
        <v>243</v>
      </c>
      <c r="D240" s="5" t="s">
        <v>2958</v>
      </c>
      <c r="E240" s="5" t="s">
        <v>2927</v>
      </c>
      <c r="F240" s="5">
        <v>56</v>
      </c>
      <c r="G240" s="5">
        <v>336</v>
      </c>
    </row>
    <row r="241" spans="1:7" ht="16.5">
      <c r="A241" s="5" t="s">
        <v>2959</v>
      </c>
      <c r="B241" s="10" t="s">
        <v>2960</v>
      </c>
      <c r="C241" s="5" t="s">
        <v>244</v>
      </c>
      <c r="D241" s="5" t="s">
        <v>2961</v>
      </c>
      <c r="E241" s="5" t="s">
        <v>2927</v>
      </c>
      <c r="F241" s="5">
        <v>44</v>
      </c>
      <c r="G241" s="5">
        <v>264</v>
      </c>
    </row>
    <row r="242" spans="1:7" ht="16.5">
      <c r="A242" s="5" t="s">
        <v>2962</v>
      </c>
      <c r="B242" s="10" t="s">
        <v>2963</v>
      </c>
      <c r="C242" s="5" t="s">
        <v>245</v>
      </c>
      <c r="D242" s="5" t="s">
        <v>2964</v>
      </c>
      <c r="E242" s="5" t="s">
        <v>2927</v>
      </c>
      <c r="F242" s="5">
        <v>32</v>
      </c>
      <c r="G242" s="5">
        <v>192</v>
      </c>
    </row>
    <row r="243" spans="1:7" ht="16.5">
      <c r="A243" s="5" t="s">
        <v>2965</v>
      </c>
      <c r="B243" s="10" t="s">
        <v>2966</v>
      </c>
      <c r="C243" s="5" t="s">
        <v>246</v>
      </c>
      <c r="D243" s="5" t="s">
        <v>2967</v>
      </c>
      <c r="E243" s="5" t="s">
        <v>2968</v>
      </c>
      <c r="F243" s="5">
        <v>22</v>
      </c>
      <c r="G243" s="5">
        <v>132</v>
      </c>
    </row>
    <row r="244" spans="1:7" ht="16.5">
      <c r="A244" s="5" t="s">
        <v>2969</v>
      </c>
      <c r="B244" s="10" t="s">
        <v>2970</v>
      </c>
      <c r="C244" s="5" t="s">
        <v>247</v>
      </c>
      <c r="D244" s="5" t="s">
        <v>2971</v>
      </c>
      <c r="E244" s="5" t="s">
        <v>2968</v>
      </c>
      <c r="F244" s="5">
        <v>28</v>
      </c>
      <c r="G244" s="5">
        <v>162</v>
      </c>
    </row>
    <row r="245" spans="1:7" ht="16.5">
      <c r="A245" s="5" t="s">
        <v>2972</v>
      </c>
      <c r="B245" s="10" t="s">
        <v>2973</v>
      </c>
      <c r="C245" s="5" t="s">
        <v>248</v>
      </c>
      <c r="D245" s="5" t="s">
        <v>2337</v>
      </c>
      <c r="E245" s="5" t="s">
        <v>2968</v>
      </c>
      <c r="F245" s="5">
        <v>53</v>
      </c>
      <c r="G245" s="5">
        <v>318</v>
      </c>
    </row>
    <row r="246" spans="1:7" ht="16.5">
      <c r="A246" s="5" t="s">
        <v>2974</v>
      </c>
      <c r="B246" s="10" t="s">
        <v>2975</v>
      </c>
      <c r="C246" s="5" t="s">
        <v>249</v>
      </c>
      <c r="D246" s="5" t="s">
        <v>2976</v>
      </c>
      <c r="E246" s="5" t="s">
        <v>2968</v>
      </c>
      <c r="F246" s="5">
        <v>14</v>
      </c>
      <c r="G246" s="5">
        <v>84</v>
      </c>
    </row>
    <row r="247" spans="1:7" ht="16.5">
      <c r="A247" s="5" t="s">
        <v>2977</v>
      </c>
      <c r="B247" s="10" t="s">
        <v>2978</v>
      </c>
      <c r="C247" s="5" t="s">
        <v>250</v>
      </c>
      <c r="D247" s="5" t="s">
        <v>2979</v>
      </c>
      <c r="E247" s="5" t="s">
        <v>2968</v>
      </c>
      <c r="F247" s="5">
        <v>14</v>
      </c>
      <c r="G247" s="5">
        <v>84</v>
      </c>
    </row>
    <row r="248" spans="1:7" ht="16.5">
      <c r="A248" s="5" t="s">
        <v>2980</v>
      </c>
      <c r="B248" s="10" t="s">
        <v>2981</v>
      </c>
      <c r="C248" s="5" t="s">
        <v>251</v>
      </c>
      <c r="D248" s="5" t="s">
        <v>2976</v>
      </c>
      <c r="E248" s="5" t="s">
        <v>2968</v>
      </c>
      <c r="F248" s="5">
        <v>14</v>
      </c>
      <c r="G248" s="5">
        <v>84</v>
      </c>
    </row>
    <row r="249" spans="1:7" ht="16.5">
      <c r="A249" s="5" t="s">
        <v>2982</v>
      </c>
      <c r="B249" s="10" t="s">
        <v>2983</v>
      </c>
      <c r="C249" s="5" t="s">
        <v>252</v>
      </c>
      <c r="D249" s="5" t="s">
        <v>2979</v>
      </c>
      <c r="E249" s="5" t="s">
        <v>2968</v>
      </c>
      <c r="F249" s="5">
        <v>14</v>
      </c>
      <c r="G249" s="5">
        <v>84</v>
      </c>
    </row>
    <row r="250" spans="1:7" ht="16.5">
      <c r="A250" s="5" t="s">
        <v>2984</v>
      </c>
      <c r="B250" s="10" t="s">
        <v>2985</v>
      </c>
      <c r="C250" s="5" t="s">
        <v>253</v>
      </c>
      <c r="D250" s="5" t="s">
        <v>2976</v>
      </c>
      <c r="E250" s="5" t="s">
        <v>2968</v>
      </c>
      <c r="F250" s="5">
        <v>14</v>
      </c>
      <c r="G250" s="5">
        <v>84</v>
      </c>
    </row>
    <row r="251" spans="1:7" ht="16.5">
      <c r="A251" s="5" t="s">
        <v>2986</v>
      </c>
      <c r="B251" s="10" t="s">
        <v>2987</v>
      </c>
      <c r="C251" s="5" t="s">
        <v>254</v>
      </c>
      <c r="D251" s="5" t="s">
        <v>2988</v>
      </c>
      <c r="E251" s="5" t="s">
        <v>2968</v>
      </c>
      <c r="F251" s="5">
        <v>32</v>
      </c>
      <c r="G251" s="5">
        <v>192</v>
      </c>
    </row>
    <row r="252" spans="1:7" ht="16.5">
      <c r="A252" s="5" t="s">
        <v>2989</v>
      </c>
      <c r="B252" s="10" t="s">
        <v>2990</v>
      </c>
      <c r="C252" s="5" t="s">
        <v>255</v>
      </c>
      <c r="D252" s="5" t="s">
        <v>2991</v>
      </c>
      <c r="E252" s="5" t="s">
        <v>2968</v>
      </c>
      <c r="F252" s="5">
        <v>35</v>
      </c>
      <c r="G252" s="5">
        <v>210</v>
      </c>
    </row>
    <row r="253" spans="1:7" ht="16.5">
      <c r="A253" s="5" t="s">
        <v>2992</v>
      </c>
      <c r="B253" s="10" t="s">
        <v>2993</v>
      </c>
      <c r="C253" s="5" t="s">
        <v>256</v>
      </c>
      <c r="D253" s="5" t="s">
        <v>2994</v>
      </c>
      <c r="E253" s="5" t="s">
        <v>2968</v>
      </c>
      <c r="F253" s="5">
        <v>29</v>
      </c>
      <c r="G253" s="5">
        <v>174</v>
      </c>
    </row>
    <row r="254" spans="1:7" ht="16.5">
      <c r="A254" s="5" t="s">
        <v>2995</v>
      </c>
      <c r="B254" s="10" t="s">
        <v>2996</v>
      </c>
      <c r="C254" s="5" t="s">
        <v>257</v>
      </c>
      <c r="D254" s="5" t="s">
        <v>2997</v>
      </c>
      <c r="E254" s="5" t="s">
        <v>2968</v>
      </c>
      <c r="F254" s="5">
        <v>29</v>
      </c>
      <c r="G254" s="5">
        <v>174</v>
      </c>
    </row>
    <row r="255" spans="1:7" ht="16.5">
      <c r="A255" s="5" t="s">
        <v>2998</v>
      </c>
      <c r="B255" s="10" t="s">
        <v>2999</v>
      </c>
      <c r="C255" s="5" t="s">
        <v>258</v>
      </c>
      <c r="D255" s="5" t="s">
        <v>3000</v>
      </c>
      <c r="E255" s="5" t="s">
        <v>2968</v>
      </c>
      <c r="F255" s="5">
        <v>56</v>
      </c>
      <c r="G255" s="5">
        <v>336</v>
      </c>
    </row>
    <row r="256" spans="1:7" ht="16.5">
      <c r="A256" s="5" t="s">
        <v>3001</v>
      </c>
      <c r="B256" s="10" t="s">
        <v>3002</v>
      </c>
      <c r="C256" s="5" t="s">
        <v>259</v>
      </c>
      <c r="D256" s="5" t="s">
        <v>3000</v>
      </c>
      <c r="E256" s="5" t="s">
        <v>2968</v>
      </c>
      <c r="F256" s="5">
        <v>56</v>
      </c>
      <c r="G256" s="5">
        <v>336</v>
      </c>
    </row>
    <row r="257" spans="1:7" ht="16.5">
      <c r="A257" s="5" t="s">
        <v>3003</v>
      </c>
      <c r="B257" s="10" t="s">
        <v>3004</v>
      </c>
      <c r="C257" s="5" t="s">
        <v>260</v>
      </c>
      <c r="D257" s="5" t="s">
        <v>2976</v>
      </c>
      <c r="E257" s="5" t="s">
        <v>2968</v>
      </c>
      <c r="F257" s="5">
        <v>56</v>
      </c>
      <c r="G257" s="5">
        <v>336</v>
      </c>
    </row>
    <row r="258" spans="1:7" ht="16.5">
      <c r="A258" s="5" t="s">
        <v>3005</v>
      </c>
      <c r="B258" s="10" t="s">
        <v>3006</v>
      </c>
      <c r="C258" s="5" t="s">
        <v>261</v>
      </c>
      <c r="D258" s="5" t="s">
        <v>3007</v>
      </c>
      <c r="E258" s="5" t="s">
        <v>3008</v>
      </c>
      <c r="F258" s="5">
        <v>14.7</v>
      </c>
      <c r="G258" s="5">
        <v>88</v>
      </c>
    </row>
    <row r="259" spans="1:7" ht="16.5">
      <c r="A259" s="5" t="s">
        <v>3009</v>
      </c>
      <c r="B259" s="10" t="s">
        <v>3010</v>
      </c>
      <c r="C259" s="5" t="s">
        <v>262</v>
      </c>
      <c r="D259" s="5" t="s">
        <v>3011</v>
      </c>
      <c r="E259" s="5" t="s">
        <v>3012</v>
      </c>
      <c r="F259" s="5">
        <v>18</v>
      </c>
      <c r="G259" s="5">
        <v>108</v>
      </c>
    </row>
    <row r="260" spans="1:7" ht="16.5">
      <c r="A260" s="5" t="s">
        <v>3013</v>
      </c>
      <c r="B260" s="10" t="s">
        <v>3014</v>
      </c>
      <c r="C260" s="5" t="s">
        <v>263</v>
      </c>
      <c r="D260" s="5" t="s">
        <v>3015</v>
      </c>
      <c r="E260" s="5" t="s">
        <v>3012</v>
      </c>
      <c r="F260" s="5">
        <v>22</v>
      </c>
      <c r="G260" s="5">
        <v>132</v>
      </c>
    </row>
    <row r="261" spans="1:7" ht="16.5">
      <c r="A261" s="5" t="s">
        <v>3016</v>
      </c>
      <c r="B261" s="10" t="s">
        <v>3017</v>
      </c>
      <c r="C261" s="5" t="s">
        <v>264</v>
      </c>
      <c r="D261" s="5" t="s">
        <v>2236</v>
      </c>
      <c r="E261" s="5" t="s">
        <v>3018</v>
      </c>
      <c r="F261" s="5">
        <v>20</v>
      </c>
      <c r="G261" s="5">
        <v>120</v>
      </c>
    </row>
    <row r="262" spans="1:7" ht="16.5">
      <c r="A262" s="5" t="s">
        <v>3019</v>
      </c>
      <c r="B262" s="10" t="s">
        <v>3020</v>
      </c>
      <c r="C262" s="5" t="s">
        <v>265</v>
      </c>
      <c r="D262" s="5" t="s">
        <v>2236</v>
      </c>
      <c r="E262" s="5" t="s">
        <v>3018</v>
      </c>
      <c r="F262" s="5">
        <v>25</v>
      </c>
      <c r="G262" s="5">
        <v>150</v>
      </c>
    </row>
    <row r="263" spans="1:7" ht="16.5">
      <c r="A263" s="5" t="s">
        <v>3021</v>
      </c>
      <c r="B263" s="10" t="s">
        <v>3022</v>
      </c>
      <c r="C263" s="5" t="s">
        <v>266</v>
      </c>
      <c r="D263" s="5" t="s">
        <v>2236</v>
      </c>
      <c r="E263" s="5" t="s">
        <v>3018</v>
      </c>
      <c r="F263" s="5">
        <v>16</v>
      </c>
      <c r="G263" s="5">
        <v>96</v>
      </c>
    </row>
    <row r="264" spans="1:7" ht="16.5">
      <c r="A264" s="5" t="s">
        <v>3023</v>
      </c>
      <c r="B264" s="10" t="s">
        <v>3024</v>
      </c>
      <c r="C264" s="5" t="s">
        <v>267</v>
      </c>
      <c r="D264" s="5" t="s">
        <v>2236</v>
      </c>
      <c r="E264" s="5" t="s">
        <v>3018</v>
      </c>
      <c r="F264" s="5">
        <v>25</v>
      </c>
      <c r="G264" s="5">
        <v>150</v>
      </c>
    </row>
    <row r="265" spans="1:7" ht="16.5">
      <c r="A265" s="5" t="s">
        <v>3025</v>
      </c>
      <c r="B265" s="10" t="s">
        <v>3026</v>
      </c>
      <c r="C265" s="5" t="s">
        <v>268</v>
      </c>
      <c r="D265" s="5" t="s">
        <v>3027</v>
      </c>
      <c r="E265" s="5" t="s">
        <v>3018</v>
      </c>
      <c r="F265" s="5">
        <v>20</v>
      </c>
      <c r="G265" s="5">
        <v>120</v>
      </c>
    </row>
    <row r="266" spans="1:7" ht="16.5">
      <c r="A266" s="5" t="s">
        <v>3028</v>
      </c>
      <c r="B266" s="10" t="s">
        <v>3029</v>
      </c>
      <c r="C266" s="5" t="s">
        <v>269</v>
      </c>
      <c r="D266" s="5" t="s">
        <v>3030</v>
      </c>
      <c r="E266" s="5" t="s">
        <v>3018</v>
      </c>
      <c r="F266" s="5">
        <v>20</v>
      </c>
      <c r="G266" s="5">
        <v>120</v>
      </c>
    </row>
    <row r="267" spans="1:7" ht="16.5">
      <c r="A267" s="5" t="s">
        <v>3031</v>
      </c>
      <c r="B267" s="10" t="s">
        <v>3032</v>
      </c>
      <c r="C267" s="5" t="s">
        <v>270</v>
      </c>
      <c r="D267" s="5" t="s">
        <v>3033</v>
      </c>
      <c r="E267" s="5" t="s">
        <v>3018</v>
      </c>
      <c r="F267" s="5">
        <v>20</v>
      </c>
      <c r="G267" s="5">
        <v>120</v>
      </c>
    </row>
    <row r="268" spans="1:7" ht="16.5">
      <c r="A268" s="5" t="s">
        <v>3034</v>
      </c>
      <c r="B268" s="10" t="s">
        <v>3035</v>
      </c>
      <c r="C268" s="5" t="s">
        <v>271</v>
      </c>
      <c r="D268" s="5" t="s">
        <v>3036</v>
      </c>
      <c r="E268" s="5" t="s">
        <v>3018</v>
      </c>
      <c r="F268" s="5">
        <v>16</v>
      </c>
      <c r="G268" s="5">
        <v>96</v>
      </c>
    </row>
    <row r="269" spans="1:7" ht="16.5">
      <c r="A269" s="5" t="s">
        <v>3037</v>
      </c>
      <c r="B269" s="10" t="s">
        <v>3038</v>
      </c>
      <c r="C269" s="5" t="s">
        <v>272</v>
      </c>
      <c r="D269" s="5" t="s">
        <v>3039</v>
      </c>
      <c r="E269" s="5" t="s">
        <v>3018</v>
      </c>
      <c r="F269" s="5">
        <v>27</v>
      </c>
      <c r="G269" s="5">
        <v>162</v>
      </c>
    </row>
    <row r="270" spans="1:7" ht="16.5">
      <c r="A270" s="5" t="s">
        <v>3040</v>
      </c>
      <c r="B270" s="10" t="s">
        <v>3041</v>
      </c>
      <c r="C270" s="5" t="s">
        <v>273</v>
      </c>
      <c r="D270" s="5" t="s">
        <v>3042</v>
      </c>
      <c r="E270" s="5" t="s">
        <v>3018</v>
      </c>
      <c r="F270" s="5">
        <v>26.5</v>
      </c>
      <c r="G270" s="5">
        <v>159</v>
      </c>
    </row>
    <row r="271" spans="1:7" ht="16.5">
      <c r="A271" s="5" t="s">
        <v>3043</v>
      </c>
      <c r="B271" s="10" t="s">
        <v>3044</v>
      </c>
      <c r="C271" s="5" t="s">
        <v>274</v>
      </c>
      <c r="D271" s="5" t="s">
        <v>3045</v>
      </c>
      <c r="E271" s="5" t="s">
        <v>3018</v>
      </c>
      <c r="F271" s="5">
        <v>26</v>
      </c>
      <c r="G271" s="5">
        <v>156</v>
      </c>
    </row>
    <row r="272" spans="1:7" ht="16.5">
      <c r="A272" s="5" t="s">
        <v>3046</v>
      </c>
      <c r="B272" s="10" t="s">
        <v>3047</v>
      </c>
      <c r="C272" s="5" t="s">
        <v>275</v>
      </c>
      <c r="D272" s="5" t="s">
        <v>3048</v>
      </c>
      <c r="E272" s="5" t="s">
        <v>3049</v>
      </c>
      <c r="F272" s="5">
        <v>34</v>
      </c>
      <c r="G272" s="5">
        <v>204</v>
      </c>
    </row>
    <row r="273" spans="1:7" ht="16.5">
      <c r="A273" s="5" t="s">
        <v>3050</v>
      </c>
      <c r="B273" s="10" t="s">
        <v>3051</v>
      </c>
      <c r="C273" s="5" t="s">
        <v>276</v>
      </c>
      <c r="D273" s="5" t="s">
        <v>2337</v>
      </c>
      <c r="E273" s="5" t="s">
        <v>3049</v>
      </c>
      <c r="F273" s="5">
        <v>16</v>
      </c>
      <c r="G273" s="5">
        <v>96</v>
      </c>
    </row>
    <row r="274" spans="1:7" ht="16.5">
      <c r="A274" s="5" t="s">
        <v>3052</v>
      </c>
      <c r="B274" s="10" t="s">
        <v>3053</v>
      </c>
      <c r="C274" s="5" t="s">
        <v>277</v>
      </c>
      <c r="D274" s="5" t="s">
        <v>3054</v>
      </c>
      <c r="E274" s="5" t="s">
        <v>3049</v>
      </c>
      <c r="F274" s="5">
        <v>29</v>
      </c>
      <c r="G274" s="5">
        <v>174</v>
      </c>
    </row>
    <row r="275" spans="1:7" ht="16.5">
      <c r="A275" s="5" t="s">
        <v>3055</v>
      </c>
      <c r="B275" s="10" t="s">
        <v>3056</v>
      </c>
      <c r="C275" s="5" t="s">
        <v>278</v>
      </c>
      <c r="D275" s="5" t="s">
        <v>3057</v>
      </c>
      <c r="E275" s="5" t="s">
        <v>3049</v>
      </c>
      <c r="F275" s="5">
        <v>40</v>
      </c>
      <c r="G275" s="5">
        <v>240</v>
      </c>
    </row>
    <row r="276" spans="1:7" ht="16.5">
      <c r="A276" s="5" t="s">
        <v>3058</v>
      </c>
      <c r="B276" s="10" t="s">
        <v>3059</v>
      </c>
      <c r="C276" s="5" t="s">
        <v>279</v>
      </c>
      <c r="D276" s="5" t="s">
        <v>3060</v>
      </c>
      <c r="E276" s="5" t="s">
        <v>3049</v>
      </c>
      <c r="F276" s="5">
        <v>25</v>
      </c>
      <c r="G276" s="5">
        <v>150</v>
      </c>
    </row>
    <row r="277" spans="1:7" ht="16.5">
      <c r="A277" s="5" t="s">
        <v>3061</v>
      </c>
      <c r="B277" s="10" t="s">
        <v>3062</v>
      </c>
      <c r="C277" s="5" t="s">
        <v>280</v>
      </c>
      <c r="D277" s="5" t="s">
        <v>3063</v>
      </c>
      <c r="E277" s="5" t="s">
        <v>3049</v>
      </c>
      <c r="F277" s="5">
        <v>34</v>
      </c>
      <c r="G277" s="5">
        <v>204</v>
      </c>
    </row>
    <row r="278" spans="1:7" ht="16.5">
      <c r="A278" s="5" t="s">
        <v>3064</v>
      </c>
      <c r="B278" s="10" t="s">
        <v>3065</v>
      </c>
      <c r="C278" s="5" t="s">
        <v>281</v>
      </c>
      <c r="D278" s="5" t="s">
        <v>3066</v>
      </c>
      <c r="E278" s="5" t="s">
        <v>3049</v>
      </c>
      <c r="F278" s="5">
        <v>25</v>
      </c>
      <c r="G278" s="5">
        <v>150</v>
      </c>
    </row>
    <row r="279" spans="1:7" ht="16.5">
      <c r="A279" s="5" t="s">
        <v>3067</v>
      </c>
      <c r="B279" s="10" t="s">
        <v>3068</v>
      </c>
      <c r="C279" s="5" t="s">
        <v>282</v>
      </c>
      <c r="D279" s="5" t="s">
        <v>3069</v>
      </c>
      <c r="E279" s="5" t="s">
        <v>3049</v>
      </c>
      <c r="F279" s="5">
        <v>36</v>
      </c>
      <c r="G279" s="5">
        <v>216</v>
      </c>
    </row>
    <row r="280" spans="1:7" ht="16.5">
      <c r="A280" s="5" t="s">
        <v>3070</v>
      </c>
      <c r="B280" s="10" t="s">
        <v>3071</v>
      </c>
      <c r="C280" s="5" t="s">
        <v>283</v>
      </c>
      <c r="D280" s="5" t="s">
        <v>3072</v>
      </c>
      <c r="E280" s="5" t="s">
        <v>3049</v>
      </c>
      <c r="F280" s="5">
        <v>24</v>
      </c>
      <c r="G280" s="5">
        <v>144</v>
      </c>
    </row>
    <row r="281" spans="1:7" ht="16.5">
      <c r="A281" s="5" t="s">
        <v>3073</v>
      </c>
      <c r="B281" s="10" t="s">
        <v>3074</v>
      </c>
      <c r="C281" s="5" t="s">
        <v>284</v>
      </c>
      <c r="D281" s="5" t="s">
        <v>3057</v>
      </c>
      <c r="E281" s="5" t="s">
        <v>3049</v>
      </c>
      <c r="F281" s="5">
        <v>32</v>
      </c>
      <c r="G281" s="5">
        <v>192</v>
      </c>
    </row>
    <row r="282" spans="1:7" ht="16.5">
      <c r="A282" s="5" t="s">
        <v>3075</v>
      </c>
      <c r="B282" s="10" t="s">
        <v>3076</v>
      </c>
      <c r="C282" s="5" t="s">
        <v>285</v>
      </c>
      <c r="D282" s="5" t="s">
        <v>3057</v>
      </c>
      <c r="E282" s="5" t="s">
        <v>3049</v>
      </c>
      <c r="F282" s="5">
        <v>24</v>
      </c>
      <c r="G282" s="5">
        <v>144</v>
      </c>
    </row>
    <row r="283" spans="1:7" ht="16.5">
      <c r="A283" s="5" t="s">
        <v>3077</v>
      </c>
      <c r="B283" s="10" t="s">
        <v>3078</v>
      </c>
      <c r="C283" s="5" t="s">
        <v>286</v>
      </c>
      <c r="D283" s="5" t="s">
        <v>3054</v>
      </c>
      <c r="E283" s="5" t="s">
        <v>3049</v>
      </c>
      <c r="F283" s="5">
        <v>38</v>
      </c>
      <c r="G283" s="5">
        <v>228</v>
      </c>
    </row>
    <row r="284" spans="1:7" ht="16.5">
      <c r="A284" s="5" t="s">
        <v>3079</v>
      </c>
      <c r="B284" s="10" t="s">
        <v>3080</v>
      </c>
      <c r="C284" s="5" t="s">
        <v>287</v>
      </c>
      <c r="D284" s="5" t="s">
        <v>3081</v>
      </c>
      <c r="E284" s="5" t="s">
        <v>3049</v>
      </c>
      <c r="F284" s="5">
        <v>33</v>
      </c>
      <c r="G284" s="5">
        <v>198</v>
      </c>
    </row>
    <row r="285" spans="1:7" ht="16.5">
      <c r="A285" s="5" t="s">
        <v>3082</v>
      </c>
      <c r="B285" s="10" t="s">
        <v>3083</v>
      </c>
      <c r="C285" s="5" t="s">
        <v>288</v>
      </c>
      <c r="D285" s="5" t="s">
        <v>3084</v>
      </c>
      <c r="E285" s="5" t="s">
        <v>3049</v>
      </c>
      <c r="F285" s="5">
        <v>27</v>
      </c>
      <c r="G285" s="5">
        <v>162</v>
      </c>
    </row>
    <row r="286" spans="1:7" ht="16.5">
      <c r="A286" s="5" t="s">
        <v>3085</v>
      </c>
      <c r="B286" s="10" t="s">
        <v>3086</v>
      </c>
      <c r="C286" s="5" t="s">
        <v>289</v>
      </c>
      <c r="D286" s="5" t="s">
        <v>3084</v>
      </c>
      <c r="E286" s="5" t="s">
        <v>3049</v>
      </c>
      <c r="F286" s="5">
        <v>40</v>
      </c>
      <c r="G286" s="5">
        <v>240</v>
      </c>
    </row>
    <row r="287" spans="1:7" ht="16.5">
      <c r="A287" s="5" t="s">
        <v>3087</v>
      </c>
      <c r="B287" s="10" t="s">
        <v>3088</v>
      </c>
      <c r="C287" s="5" t="s">
        <v>290</v>
      </c>
      <c r="D287" s="5" t="s">
        <v>3089</v>
      </c>
      <c r="E287" s="5" t="s">
        <v>3049</v>
      </c>
      <c r="F287" s="5">
        <v>108</v>
      </c>
      <c r="G287" s="5">
        <v>648</v>
      </c>
    </row>
    <row r="288" spans="1:7" ht="16.5">
      <c r="A288" s="5" t="s">
        <v>3090</v>
      </c>
      <c r="B288" s="10" t="s">
        <v>3091</v>
      </c>
      <c r="C288" s="5" t="s">
        <v>291</v>
      </c>
      <c r="D288" s="5" t="s">
        <v>3092</v>
      </c>
      <c r="E288" s="5" t="s">
        <v>3049</v>
      </c>
      <c r="F288" s="5">
        <v>43</v>
      </c>
      <c r="G288" s="5">
        <v>258</v>
      </c>
    </row>
    <row r="289" spans="1:7" ht="16.5">
      <c r="A289" s="5" t="s">
        <v>3093</v>
      </c>
      <c r="B289" s="10" t="s">
        <v>3094</v>
      </c>
      <c r="C289" s="5" t="s">
        <v>292</v>
      </c>
      <c r="D289" s="5" t="s">
        <v>3095</v>
      </c>
      <c r="E289" s="5" t="s">
        <v>3049</v>
      </c>
      <c r="F289" s="5">
        <v>60</v>
      </c>
      <c r="G289" s="5">
        <v>360</v>
      </c>
    </row>
    <row r="290" spans="1:7" ht="16.5">
      <c r="A290" s="5" t="s">
        <v>3096</v>
      </c>
      <c r="B290" s="10" t="s">
        <v>3097</v>
      </c>
      <c r="C290" s="5" t="s">
        <v>293</v>
      </c>
      <c r="D290" s="5" t="s">
        <v>3098</v>
      </c>
      <c r="E290" s="5" t="s">
        <v>3049</v>
      </c>
      <c r="F290" s="5">
        <v>50</v>
      </c>
      <c r="G290" s="5">
        <v>300</v>
      </c>
    </row>
    <row r="291" spans="1:7" ht="16.5">
      <c r="A291" s="5" t="s">
        <v>3099</v>
      </c>
      <c r="B291" s="10" t="s">
        <v>3100</v>
      </c>
      <c r="C291" s="5" t="s">
        <v>294</v>
      </c>
      <c r="D291" s="5" t="s">
        <v>3101</v>
      </c>
      <c r="E291" s="5" t="s">
        <v>3049</v>
      </c>
      <c r="F291" s="5">
        <v>80</v>
      </c>
      <c r="G291" s="5">
        <v>480</v>
      </c>
    </row>
    <row r="292" spans="1:7" ht="16.5">
      <c r="A292" s="5" t="s">
        <v>3102</v>
      </c>
      <c r="B292" s="10" t="s">
        <v>3103</v>
      </c>
      <c r="C292" s="5" t="s">
        <v>295</v>
      </c>
      <c r="D292" s="5" t="s">
        <v>3104</v>
      </c>
      <c r="E292" s="5" t="s">
        <v>3049</v>
      </c>
      <c r="F292" s="5">
        <v>80</v>
      </c>
      <c r="G292" s="5">
        <v>480</v>
      </c>
    </row>
    <row r="293" spans="1:7" ht="16.5">
      <c r="A293" s="5" t="s">
        <v>3105</v>
      </c>
      <c r="B293" s="10" t="s">
        <v>3106</v>
      </c>
      <c r="C293" s="5" t="s">
        <v>296</v>
      </c>
      <c r="D293" s="5" t="s">
        <v>3107</v>
      </c>
      <c r="E293" s="5" t="s">
        <v>3049</v>
      </c>
      <c r="F293" s="5">
        <v>80</v>
      </c>
      <c r="G293" s="5">
        <v>480</v>
      </c>
    </row>
    <row r="294" spans="1:7" ht="16.5">
      <c r="A294" s="5" t="s">
        <v>3108</v>
      </c>
      <c r="B294" s="10" t="s">
        <v>3109</v>
      </c>
      <c r="C294" s="5" t="s">
        <v>297</v>
      </c>
      <c r="D294" s="5" t="s">
        <v>3110</v>
      </c>
      <c r="E294" s="5" t="s">
        <v>3049</v>
      </c>
      <c r="F294" s="5">
        <v>80</v>
      </c>
      <c r="G294" s="5">
        <v>480</v>
      </c>
    </row>
    <row r="295" spans="1:7" ht="16.5">
      <c r="A295" s="5" t="s">
        <v>3111</v>
      </c>
      <c r="B295" s="10" t="s">
        <v>3112</v>
      </c>
      <c r="C295" s="5" t="s">
        <v>298</v>
      </c>
      <c r="D295" s="5" t="s">
        <v>3113</v>
      </c>
      <c r="E295" s="5" t="s">
        <v>3049</v>
      </c>
      <c r="F295" s="5">
        <v>30</v>
      </c>
      <c r="G295" s="5">
        <v>180</v>
      </c>
    </row>
    <row r="296" spans="1:7" ht="16.5">
      <c r="A296" s="5" t="s">
        <v>3114</v>
      </c>
      <c r="B296" s="10" t="s">
        <v>3115</v>
      </c>
      <c r="C296" s="5" t="s">
        <v>299</v>
      </c>
      <c r="D296" s="5" t="s">
        <v>3116</v>
      </c>
      <c r="E296" s="5" t="s">
        <v>3117</v>
      </c>
      <c r="F296" s="5">
        <v>36</v>
      </c>
      <c r="G296" s="5">
        <v>216</v>
      </c>
    </row>
    <row r="297" spans="1:7" ht="16.5">
      <c r="A297" s="5" t="s">
        <v>3118</v>
      </c>
      <c r="B297" s="10" t="s">
        <v>3119</v>
      </c>
      <c r="C297" s="5" t="s">
        <v>300</v>
      </c>
      <c r="D297" s="5" t="s">
        <v>3120</v>
      </c>
      <c r="E297" s="5" t="s">
        <v>3117</v>
      </c>
      <c r="F297" s="5">
        <v>69</v>
      </c>
      <c r="G297" s="5">
        <v>414</v>
      </c>
    </row>
    <row r="298" spans="1:7" ht="16.5">
      <c r="A298" s="5" t="s">
        <v>3121</v>
      </c>
      <c r="B298" s="10" t="s">
        <v>3122</v>
      </c>
      <c r="C298" s="5" t="s">
        <v>301</v>
      </c>
      <c r="D298" s="5" t="s">
        <v>3123</v>
      </c>
      <c r="E298" s="5" t="s">
        <v>3124</v>
      </c>
      <c r="F298" s="5">
        <v>38</v>
      </c>
      <c r="G298" s="5">
        <v>228</v>
      </c>
    </row>
    <row r="299" spans="1:7" ht="16.5">
      <c r="A299" s="5" t="s">
        <v>3125</v>
      </c>
      <c r="B299" s="10" t="s">
        <v>3126</v>
      </c>
      <c r="C299" s="5" t="s">
        <v>302</v>
      </c>
      <c r="D299" s="5" t="s">
        <v>3127</v>
      </c>
      <c r="E299" s="5" t="s">
        <v>3124</v>
      </c>
      <c r="F299" s="5">
        <v>45</v>
      </c>
      <c r="G299" s="5">
        <v>270</v>
      </c>
    </row>
    <row r="300" spans="1:7" ht="16.5">
      <c r="A300" s="5" t="s">
        <v>3128</v>
      </c>
      <c r="B300" s="10" t="s">
        <v>3129</v>
      </c>
      <c r="C300" s="5" t="s">
        <v>303</v>
      </c>
      <c r="D300" s="5" t="s">
        <v>3130</v>
      </c>
      <c r="E300" s="5" t="s">
        <v>3131</v>
      </c>
      <c r="F300" s="5">
        <v>43</v>
      </c>
      <c r="G300" s="5">
        <v>258</v>
      </c>
    </row>
    <row r="301" spans="1:7" ht="16.5">
      <c r="A301" s="5" t="s">
        <v>3132</v>
      </c>
      <c r="B301" s="10" t="s">
        <v>3133</v>
      </c>
      <c r="C301" s="5" t="s">
        <v>3</v>
      </c>
      <c r="D301" s="5" t="s">
        <v>3134</v>
      </c>
      <c r="E301" s="5" t="s">
        <v>3135</v>
      </c>
      <c r="F301" s="5">
        <v>18</v>
      </c>
      <c r="G301" s="5">
        <v>108</v>
      </c>
    </row>
    <row r="302" spans="1:7" ht="16.5">
      <c r="A302" s="5" t="s">
        <v>3136</v>
      </c>
      <c r="B302" s="10" t="s">
        <v>3137</v>
      </c>
      <c r="C302" s="5" t="s">
        <v>304</v>
      </c>
      <c r="D302" s="5" t="s">
        <v>3138</v>
      </c>
      <c r="E302" s="5" t="s">
        <v>3131</v>
      </c>
      <c r="F302" s="5">
        <v>26</v>
      </c>
      <c r="G302" s="5">
        <v>156</v>
      </c>
    </row>
    <row r="303" spans="1:7" ht="16.5">
      <c r="A303" s="5" t="s">
        <v>3139</v>
      </c>
      <c r="B303" s="10" t="s">
        <v>3140</v>
      </c>
      <c r="C303" s="5" t="s">
        <v>305</v>
      </c>
      <c r="D303" s="5" t="s">
        <v>3141</v>
      </c>
      <c r="E303" s="5" t="s">
        <v>3131</v>
      </c>
      <c r="F303" s="5">
        <v>10</v>
      </c>
      <c r="G303" s="5">
        <v>60</v>
      </c>
    </row>
    <row r="304" spans="1:7" ht="16.5">
      <c r="A304" s="5" t="s">
        <v>3142</v>
      </c>
      <c r="B304" s="10" t="s">
        <v>3143</v>
      </c>
      <c r="C304" s="5" t="s">
        <v>306</v>
      </c>
      <c r="D304" s="5" t="s">
        <v>3144</v>
      </c>
      <c r="E304" s="5" t="s">
        <v>3131</v>
      </c>
      <c r="F304" s="5">
        <v>8.6</v>
      </c>
      <c r="G304" s="5">
        <v>52</v>
      </c>
    </row>
    <row r="305" spans="1:7" ht="16.5">
      <c r="A305" s="5" t="s">
        <v>3145</v>
      </c>
      <c r="B305" s="10" t="s">
        <v>3146</v>
      </c>
      <c r="C305" s="5" t="s">
        <v>307</v>
      </c>
      <c r="D305" s="5" t="s">
        <v>3147</v>
      </c>
      <c r="E305" s="5" t="s">
        <v>3131</v>
      </c>
      <c r="F305" s="5">
        <v>12</v>
      </c>
      <c r="G305" s="5">
        <v>72</v>
      </c>
    </row>
    <row r="306" spans="1:7" ht="16.5">
      <c r="A306" s="5" t="s">
        <v>3148</v>
      </c>
      <c r="B306" s="10" t="s">
        <v>3149</v>
      </c>
      <c r="C306" s="5" t="s">
        <v>308</v>
      </c>
      <c r="D306" s="5" t="s">
        <v>3150</v>
      </c>
      <c r="E306" s="5" t="s">
        <v>3131</v>
      </c>
      <c r="F306" s="5">
        <v>12</v>
      </c>
      <c r="G306" s="5">
        <v>72</v>
      </c>
    </row>
    <row r="307" spans="1:7" ht="16.5">
      <c r="A307" s="5" t="s">
        <v>3151</v>
      </c>
      <c r="B307" s="10" t="s">
        <v>3152</v>
      </c>
      <c r="C307" s="5" t="s">
        <v>309</v>
      </c>
      <c r="D307" s="5" t="s">
        <v>3153</v>
      </c>
      <c r="E307" s="5" t="s">
        <v>3131</v>
      </c>
      <c r="F307" s="5">
        <v>45</v>
      </c>
      <c r="G307" s="5">
        <v>270</v>
      </c>
    </row>
    <row r="308" spans="1:7" ht="16.5">
      <c r="A308" s="5" t="s">
        <v>3154</v>
      </c>
      <c r="B308" s="10" t="s">
        <v>3155</v>
      </c>
      <c r="C308" s="5" t="s">
        <v>310</v>
      </c>
      <c r="D308" s="5" t="s">
        <v>3156</v>
      </c>
      <c r="E308" s="5" t="s">
        <v>3131</v>
      </c>
      <c r="F308" s="5">
        <v>12</v>
      </c>
      <c r="G308" s="5">
        <v>72</v>
      </c>
    </row>
    <row r="309" spans="1:7" ht="16.5">
      <c r="A309" s="5" t="s">
        <v>3157</v>
      </c>
      <c r="B309" s="10" t="s">
        <v>3158</v>
      </c>
      <c r="C309" s="5" t="s">
        <v>311</v>
      </c>
      <c r="D309" s="5" t="s">
        <v>3159</v>
      </c>
      <c r="E309" s="5" t="s">
        <v>3131</v>
      </c>
      <c r="F309" s="5">
        <v>12</v>
      </c>
      <c r="G309" s="5">
        <v>72</v>
      </c>
    </row>
    <row r="310" spans="1:7" ht="16.5">
      <c r="A310" s="5" t="s">
        <v>3160</v>
      </c>
      <c r="B310" s="10" t="s">
        <v>3161</v>
      </c>
      <c r="C310" s="5" t="s">
        <v>312</v>
      </c>
      <c r="D310" s="5" t="s">
        <v>3162</v>
      </c>
      <c r="E310" s="5" t="s">
        <v>3131</v>
      </c>
      <c r="F310" s="5">
        <v>24</v>
      </c>
      <c r="G310" s="5">
        <v>144</v>
      </c>
    </row>
    <row r="311" spans="1:7" ht="16.5">
      <c r="A311" s="5" t="s">
        <v>3163</v>
      </c>
      <c r="B311" s="10" t="s">
        <v>3164</v>
      </c>
      <c r="C311" s="5" t="s">
        <v>313</v>
      </c>
      <c r="D311" s="5" t="s">
        <v>3165</v>
      </c>
      <c r="E311" s="5" t="s">
        <v>3131</v>
      </c>
      <c r="F311" s="5">
        <v>32</v>
      </c>
      <c r="G311" s="5">
        <v>192</v>
      </c>
    </row>
    <row r="312" spans="1:7" ht="16.5">
      <c r="A312" s="5" t="s">
        <v>3166</v>
      </c>
      <c r="B312" s="10" t="s">
        <v>3167</v>
      </c>
      <c r="C312" s="5" t="s">
        <v>314</v>
      </c>
      <c r="D312" s="5" t="s">
        <v>3168</v>
      </c>
      <c r="E312" s="5" t="s">
        <v>3131</v>
      </c>
      <c r="F312" s="5">
        <v>30</v>
      </c>
      <c r="G312" s="5">
        <v>180</v>
      </c>
    </row>
    <row r="313" spans="1:7" ht="16.5">
      <c r="A313" s="5" t="s">
        <v>3169</v>
      </c>
      <c r="B313" s="10" t="s">
        <v>3170</v>
      </c>
      <c r="C313" s="5" t="s">
        <v>315</v>
      </c>
      <c r="D313" s="5" t="s">
        <v>3171</v>
      </c>
      <c r="E313" s="5" t="s">
        <v>3131</v>
      </c>
      <c r="F313" s="5">
        <v>38</v>
      </c>
      <c r="G313" s="5">
        <v>228</v>
      </c>
    </row>
    <row r="314" spans="1:7" ht="16.5">
      <c r="A314" s="5" t="s">
        <v>3172</v>
      </c>
      <c r="B314" s="10" t="s">
        <v>3173</v>
      </c>
      <c r="C314" s="5" t="s">
        <v>316</v>
      </c>
      <c r="D314" s="5" t="s">
        <v>3174</v>
      </c>
      <c r="E314" s="5" t="s">
        <v>3131</v>
      </c>
      <c r="F314" s="5">
        <v>39</v>
      </c>
      <c r="G314" s="5">
        <v>234</v>
      </c>
    </row>
    <row r="315" spans="1:7" ht="16.5">
      <c r="A315" s="5" t="s">
        <v>3175</v>
      </c>
      <c r="B315" s="10" t="s">
        <v>3176</v>
      </c>
      <c r="C315" s="5" t="s">
        <v>317</v>
      </c>
      <c r="D315" s="5" t="s">
        <v>3177</v>
      </c>
      <c r="E315" s="5" t="s">
        <v>3131</v>
      </c>
      <c r="F315" s="5">
        <v>45</v>
      </c>
      <c r="G315" s="5">
        <v>270</v>
      </c>
    </row>
    <row r="316" spans="1:7" ht="16.5">
      <c r="A316" s="5" t="s">
        <v>3178</v>
      </c>
      <c r="B316" s="10" t="s">
        <v>3179</v>
      </c>
      <c r="C316" s="5" t="s">
        <v>318</v>
      </c>
      <c r="D316" s="5" t="s">
        <v>3180</v>
      </c>
      <c r="E316" s="5" t="s">
        <v>3131</v>
      </c>
      <c r="F316" s="5">
        <v>28</v>
      </c>
      <c r="G316" s="5">
        <v>168</v>
      </c>
    </row>
    <row r="317" spans="1:7" ht="16.5">
      <c r="A317" s="5" t="s">
        <v>3181</v>
      </c>
      <c r="B317" s="10" t="s">
        <v>3182</v>
      </c>
      <c r="C317" s="5" t="s">
        <v>319</v>
      </c>
      <c r="D317" s="5" t="s">
        <v>3183</v>
      </c>
      <c r="E317" s="5" t="s">
        <v>3184</v>
      </c>
      <c r="F317" s="5">
        <v>19.8</v>
      </c>
      <c r="G317" s="5">
        <v>119</v>
      </c>
    </row>
    <row r="318" spans="1:7" ht="16.5">
      <c r="A318" s="5" t="s">
        <v>3185</v>
      </c>
      <c r="B318" s="10" t="s">
        <v>3186</v>
      </c>
      <c r="C318" s="5" t="s">
        <v>320</v>
      </c>
      <c r="D318" s="5" t="s">
        <v>3187</v>
      </c>
      <c r="E318" s="5" t="s">
        <v>3184</v>
      </c>
      <c r="F318" s="5">
        <v>48</v>
      </c>
      <c r="G318" s="5">
        <v>288</v>
      </c>
    </row>
    <row r="319" spans="1:7" ht="16.5">
      <c r="A319" s="5" t="s">
        <v>3188</v>
      </c>
      <c r="B319" s="10" t="s">
        <v>3189</v>
      </c>
      <c r="C319" s="5" t="s">
        <v>321</v>
      </c>
      <c r="D319" s="5" t="s">
        <v>3190</v>
      </c>
      <c r="E319" s="5" t="s">
        <v>3191</v>
      </c>
      <c r="F319" s="5">
        <v>20</v>
      </c>
      <c r="G319" s="5">
        <v>120</v>
      </c>
    </row>
    <row r="320" spans="1:7" ht="16.5">
      <c r="A320" s="5" t="s">
        <v>3192</v>
      </c>
      <c r="B320" s="10" t="s">
        <v>3193</v>
      </c>
      <c r="C320" s="5" t="s">
        <v>322</v>
      </c>
      <c r="D320" s="5" t="s">
        <v>3194</v>
      </c>
      <c r="E320" s="5" t="s">
        <v>3191</v>
      </c>
      <c r="F320" s="5">
        <v>98</v>
      </c>
      <c r="G320" s="5">
        <v>588</v>
      </c>
    </row>
    <row r="321" spans="1:7" ht="16.5">
      <c r="A321" s="5" t="s">
        <v>3195</v>
      </c>
      <c r="B321" s="10" t="s">
        <v>3196</v>
      </c>
      <c r="C321" s="5" t="s">
        <v>323</v>
      </c>
      <c r="D321" s="5" t="s">
        <v>3197</v>
      </c>
      <c r="E321" s="5" t="s">
        <v>3191</v>
      </c>
      <c r="F321" s="5">
        <v>16</v>
      </c>
      <c r="G321" s="5">
        <v>96</v>
      </c>
    </row>
    <row r="322" spans="1:7" ht="16.5">
      <c r="A322" s="5" t="s">
        <v>3198</v>
      </c>
      <c r="B322" s="10" t="s">
        <v>3199</v>
      </c>
      <c r="C322" s="5" t="s">
        <v>324</v>
      </c>
      <c r="D322" s="5" t="s">
        <v>3200</v>
      </c>
      <c r="E322" s="5" t="s">
        <v>3201</v>
      </c>
      <c r="F322" s="5">
        <v>40</v>
      </c>
      <c r="G322" s="5">
        <v>240</v>
      </c>
    </row>
    <row r="323" spans="1:7" ht="16.5">
      <c r="A323" s="5" t="s">
        <v>3202</v>
      </c>
      <c r="B323" s="10" t="s">
        <v>3203</v>
      </c>
      <c r="C323" s="5" t="s">
        <v>325</v>
      </c>
      <c r="D323" s="5" t="s">
        <v>3200</v>
      </c>
      <c r="E323" s="5" t="s">
        <v>3201</v>
      </c>
      <c r="F323" s="5">
        <v>40</v>
      </c>
      <c r="G323" s="5">
        <v>240</v>
      </c>
    </row>
    <row r="324" spans="1:7" ht="16.5">
      <c r="A324" s="5" t="s">
        <v>3204</v>
      </c>
      <c r="B324" s="10" t="s">
        <v>3205</v>
      </c>
      <c r="C324" s="5" t="s">
        <v>326</v>
      </c>
      <c r="D324" s="5" t="s">
        <v>3200</v>
      </c>
      <c r="E324" s="5" t="s">
        <v>3201</v>
      </c>
      <c r="F324" s="5">
        <v>27</v>
      </c>
      <c r="G324" s="5">
        <v>162</v>
      </c>
    </row>
    <row r="325" spans="1:7" ht="16.5">
      <c r="A325" s="5" t="s">
        <v>3206</v>
      </c>
      <c r="B325" s="10" t="s">
        <v>3207</v>
      </c>
      <c r="C325" s="5" t="s">
        <v>327</v>
      </c>
      <c r="D325" s="5" t="s">
        <v>3200</v>
      </c>
      <c r="E325" s="5" t="s">
        <v>3201</v>
      </c>
      <c r="F325" s="5">
        <v>38</v>
      </c>
      <c r="G325" s="5">
        <v>228</v>
      </c>
    </row>
    <row r="326" spans="1:7" ht="16.5">
      <c r="A326" s="5" t="s">
        <v>3208</v>
      </c>
      <c r="B326" s="10" t="s">
        <v>3209</v>
      </c>
      <c r="C326" s="5" t="s">
        <v>328</v>
      </c>
      <c r="D326" s="5" t="s">
        <v>3200</v>
      </c>
      <c r="E326" s="5" t="s">
        <v>3201</v>
      </c>
      <c r="F326" s="5">
        <v>41</v>
      </c>
      <c r="G326" s="5">
        <v>246</v>
      </c>
    </row>
    <row r="327" spans="1:7" ht="16.5">
      <c r="A327" s="5" t="s">
        <v>3210</v>
      </c>
      <c r="B327" s="10" t="s">
        <v>3211</v>
      </c>
      <c r="C327" s="5" t="s">
        <v>329</v>
      </c>
      <c r="D327" s="5" t="s">
        <v>3200</v>
      </c>
      <c r="E327" s="5" t="s">
        <v>3201</v>
      </c>
      <c r="F327" s="5">
        <v>35</v>
      </c>
      <c r="G327" s="5">
        <v>210</v>
      </c>
    </row>
    <row r="328" spans="1:7" ht="16.5">
      <c r="A328" s="5" t="s">
        <v>3212</v>
      </c>
      <c r="B328" s="10" t="s">
        <v>3213</v>
      </c>
      <c r="C328" s="5" t="s">
        <v>330</v>
      </c>
      <c r="D328" s="5" t="s">
        <v>3214</v>
      </c>
      <c r="E328" s="5" t="s">
        <v>3201</v>
      </c>
      <c r="F328" s="5">
        <v>97.5</v>
      </c>
      <c r="G328" s="5">
        <v>585</v>
      </c>
    </row>
    <row r="329" spans="1:7" ht="16.5">
      <c r="A329" s="5" t="s">
        <v>3215</v>
      </c>
      <c r="B329" s="10" t="s">
        <v>3216</v>
      </c>
      <c r="C329" s="5" t="s">
        <v>331</v>
      </c>
      <c r="D329" s="5" t="s">
        <v>3217</v>
      </c>
      <c r="E329" s="5" t="s">
        <v>3201</v>
      </c>
      <c r="F329" s="5">
        <v>52</v>
      </c>
      <c r="G329" s="5">
        <v>312</v>
      </c>
    </row>
    <row r="330" spans="1:7" ht="16.5">
      <c r="A330" s="5" t="s">
        <v>3218</v>
      </c>
      <c r="B330" s="10" t="s">
        <v>3219</v>
      </c>
      <c r="C330" s="5" t="s">
        <v>332</v>
      </c>
      <c r="D330" s="5" t="s">
        <v>3220</v>
      </c>
      <c r="E330" s="5" t="s">
        <v>3201</v>
      </c>
      <c r="F330" s="5">
        <v>89.5</v>
      </c>
      <c r="G330" s="5">
        <v>537</v>
      </c>
    </row>
    <row r="331" spans="1:7" ht="16.5">
      <c r="A331" s="5" t="s">
        <v>3221</v>
      </c>
      <c r="B331" s="10" t="s">
        <v>3222</v>
      </c>
      <c r="C331" s="5" t="s">
        <v>333</v>
      </c>
      <c r="D331" s="5" t="s">
        <v>3223</v>
      </c>
      <c r="E331" s="5" t="s">
        <v>3201</v>
      </c>
      <c r="F331" s="5">
        <v>17.8</v>
      </c>
      <c r="G331" s="5">
        <v>107</v>
      </c>
    </row>
    <row r="332" spans="1:7" ht="16.5">
      <c r="A332" s="5" t="s">
        <v>3224</v>
      </c>
      <c r="B332" s="10" t="s">
        <v>3225</v>
      </c>
      <c r="C332" s="5" t="s">
        <v>334</v>
      </c>
      <c r="D332" s="5" t="s">
        <v>3226</v>
      </c>
      <c r="E332" s="5" t="s">
        <v>3227</v>
      </c>
      <c r="F332" s="5">
        <v>25</v>
      </c>
      <c r="G332" s="5">
        <v>150</v>
      </c>
    </row>
    <row r="333" spans="1:7" ht="16.5">
      <c r="A333" s="5" t="s">
        <v>3228</v>
      </c>
      <c r="B333" s="10" t="s">
        <v>3229</v>
      </c>
      <c r="C333" s="5" t="s">
        <v>335</v>
      </c>
      <c r="D333" s="5" t="s">
        <v>3230</v>
      </c>
      <c r="E333" s="5" t="s">
        <v>3227</v>
      </c>
      <c r="F333" s="5">
        <v>25</v>
      </c>
      <c r="G333" s="5">
        <v>150</v>
      </c>
    </row>
    <row r="334" spans="1:7" ht="16.5">
      <c r="A334" s="5" t="s">
        <v>3231</v>
      </c>
      <c r="B334" s="10" t="s">
        <v>3232</v>
      </c>
      <c r="C334" s="5" t="s">
        <v>336</v>
      </c>
      <c r="D334" s="5" t="s">
        <v>3233</v>
      </c>
      <c r="E334" s="5" t="s">
        <v>3227</v>
      </c>
      <c r="F334" s="5">
        <v>26</v>
      </c>
      <c r="G334" s="5">
        <v>156</v>
      </c>
    </row>
    <row r="335" spans="1:7" ht="16.5">
      <c r="A335" s="5" t="s">
        <v>3234</v>
      </c>
      <c r="B335" s="10" t="s">
        <v>3235</v>
      </c>
      <c r="C335" s="5" t="s">
        <v>337</v>
      </c>
      <c r="D335" s="5" t="s">
        <v>3236</v>
      </c>
      <c r="E335" s="5" t="s">
        <v>3227</v>
      </c>
      <c r="F335" s="5">
        <v>19</v>
      </c>
      <c r="G335" s="5">
        <v>114</v>
      </c>
    </row>
    <row r="336" spans="1:7" ht="16.5">
      <c r="A336" s="5" t="s">
        <v>3237</v>
      </c>
      <c r="B336" s="10" t="s">
        <v>3238</v>
      </c>
      <c r="C336" s="5" t="s">
        <v>338</v>
      </c>
      <c r="D336" s="5" t="s">
        <v>3239</v>
      </c>
      <c r="E336" s="5" t="s">
        <v>3227</v>
      </c>
      <c r="F336" s="5">
        <v>22</v>
      </c>
      <c r="G336" s="5">
        <v>132</v>
      </c>
    </row>
    <row r="337" spans="1:7" ht="16.5">
      <c r="A337" s="5" t="s">
        <v>3240</v>
      </c>
      <c r="B337" s="10" t="s">
        <v>3241</v>
      </c>
      <c r="C337" s="5" t="s">
        <v>339</v>
      </c>
      <c r="D337" s="5" t="s">
        <v>3242</v>
      </c>
      <c r="E337" s="5" t="s">
        <v>3227</v>
      </c>
      <c r="F337" s="5">
        <v>21</v>
      </c>
      <c r="G337" s="5">
        <v>126</v>
      </c>
    </row>
    <row r="338" spans="1:7" ht="16.5">
      <c r="A338" s="5" t="s">
        <v>3243</v>
      </c>
      <c r="B338" s="10" t="s">
        <v>3244</v>
      </c>
      <c r="C338" s="5" t="s">
        <v>340</v>
      </c>
      <c r="D338" s="5" t="s">
        <v>3245</v>
      </c>
      <c r="E338" s="5" t="s">
        <v>3227</v>
      </c>
      <c r="F338" s="5">
        <v>29.8</v>
      </c>
      <c r="G338" s="5">
        <v>179</v>
      </c>
    </row>
    <row r="339" spans="1:7" ht="16.5">
      <c r="A339" s="5" t="s">
        <v>3246</v>
      </c>
      <c r="B339" s="10" t="s">
        <v>3247</v>
      </c>
      <c r="C339" s="5" t="s">
        <v>341</v>
      </c>
      <c r="D339" s="5" t="s">
        <v>3248</v>
      </c>
      <c r="E339" s="5" t="s">
        <v>3227</v>
      </c>
      <c r="F339" s="5">
        <v>18</v>
      </c>
      <c r="G339" s="5">
        <v>108</v>
      </c>
    </row>
    <row r="340" spans="1:7" ht="16.5">
      <c r="A340" s="5" t="s">
        <v>3249</v>
      </c>
      <c r="B340" s="10" t="s">
        <v>3250</v>
      </c>
      <c r="C340" s="5" t="s">
        <v>342</v>
      </c>
      <c r="D340" s="5" t="s">
        <v>3251</v>
      </c>
      <c r="E340" s="5" t="s">
        <v>3227</v>
      </c>
      <c r="F340" s="5">
        <v>26.8</v>
      </c>
      <c r="G340" s="5">
        <v>161</v>
      </c>
    </row>
    <row r="341" spans="1:7" ht="16.5">
      <c r="A341" s="5" t="s">
        <v>3252</v>
      </c>
      <c r="B341" s="10" t="s">
        <v>3253</v>
      </c>
      <c r="C341" s="5" t="s">
        <v>343</v>
      </c>
      <c r="D341" s="5" t="s">
        <v>3254</v>
      </c>
      <c r="E341" s="5" t="s">
        <v>3227</v>
      </c>
      <c r="F341" s="5">
        <v>28</v>
      </c>
      <c r="G341" s="5">
        <v>168</v>
      </c>
    </row>
    <row r="342" spans="1:7" ht="16.5">
      <c r="A342" s="5" t="s">
        <v>3255</v>
      </c>
      <c r="B342" s="10" t="s">
        <v>3256</v>
      </c>
      <c r="C342" s="5" t="s">
        <v>344</v>
      </c>
      <c r="D342" s="5" t="s">
        <v>3257</v>
      </c>
      <c r="E342" s="5" t="s">
        <v>3227</v>
      </c>
      <c r="F342" s="5">
        <v>29</v>
      </c>
      <c r="G342" s="5">
        <v>174</v>
      </c>
    </row>
    <row r="343" spans="1:7" ht="16.5">
      <c r="A343" s="5" t="s">
        <v>3258</v>
      </c>
      <c r="B343" s="10" t="s">
        <v>3259</v>
      </c>
      <c r="C343" s="5" t="s">
        <v>345</v>
      </c>
      <c r="D343" s="5" t="s">
        <v>3260</v>
      </c>
      <c r="E343" s="5" t="s">
        <v>3227</v>
      </c>
      <c r="F343" s="5">
        <v>24.8</v>
      </c>
      <c r="G343" s="5">
        <v>149</v>
      </c>
    </row>
    <row r="344" spans="1:7" ht="16.5">
      <c r="A344" s="5" t="s">
        <v>3261</v>
      </c>
      <c r="B344" s="10" t="s">
        <v>3262</v>
      </c>
      <c r="C344" s="5" t="s">
        <v>346</v>
      </c>
      <c r="D344" s="5" t="s">
        <v>3263</v>
      </c>
      <c r="E344" s="5" t="s">
        <v>3227</v>
      </c>
      <c r="F344" s="5">
        <v>29</v>
      </c>
      <c r="G344" s="5">
        <v>174</v>
      </c>
    </row>
    <row r="345" spans="1:7" ht="16.5">
      <c r="A345" s="5" t="s">
        <v>3264</v>
      </c>
      <c r="B345" s="10" t="s">
        <v>3265</v>
      </c>
      <c r="C345" s="5" t="s">
        <v>347</v>
      </c>
      <c r="D345" s="5" t="s">
        <v>3266</v>
      </c>
      <c r="E345" s="5" t="s">
        <v>3227</v>
      </c>
      <c r="F345" s="5">
        <v>16</v>
      </c>
      <c r="G345" s="5">
        <v>96</v>
      </c>
    </row>
    <row r="346" spans="1:7" ht="16.5">
      <c r="A346" s="5" t="s">
        <v>3267</v>
      </c>
      <c r="B346" s="10" t="s">
        <v>3268</v>
      </c>
      <c r="C346" s="5" t="s">
        <v>348</v>
      </c>
      <c r="D346" s="5" t="s">
        <v>3269</v>
      </c>
      <c r="E346" s="5" t="s">
        <v>3227</v>
      </c>
      <c r="F346" s="5">
        <v>16</v>
      </c>
      <c r="G346" s="5">
        <v>96</v>
      </c>
    </row>
    <row r="347" spans="1:7" ht="16.5">
      <c r="A347" s="5" t="s">
        <v>3270</v>
      </c>
      <c r="B347" s="10" t="s">
        <v>3271</v>
      </c>
      <c r="C347" s="5" t="s">
        <v>349</v>
      </c>
      <c r="D347" s="5" t="s">
        <v>3272</v>
      </c>
      <c r="E347" s="5" t="s">
        <v>3227</v>
      </c>
      <c r="F347" s="5">
        <v>23.8</v>
      </c>
      <c r="G347" s="5">
        <v>143</v>
      </c>
    </row>
    <row r="348" spans="1:7" ht="16.5">
      <c r="A348" s="5" t="s">
        <v>3273</v>
      </c>
      <c r="B348" s="10" t="s">
        <v>3274</v>
      </c>
      <c r="C348" s="5" t="s">
        <v>350</v>
      </c>
      <c r="D348" s="5" t="s">
        <v>3275</v>
      </c>
      <c r="E348" s="5" t="s">
        <v>3227</v>
      </c>
      <c r="F348" s="5">
        <v>32.8</v>
      </c>
      <c r="G348" s="5">
        <v>197</v>
      </c>
    </row>
    <row r="349" spans="1:7" ht="16.5">
      <c r="A349" s="5" t="s">
        <v>3276</v>
      </c>
      <c r="B349" s="10" t="s">
        <v>3277</v>
      </c>
      <c r="C349" s="5" t="s">
        <v>351</v>
      </c>
      <c r="D349" s="5" t="s">
        <v>3278</v>
      </c>
      <c r="E349" s="5" t="s">
        <v>3279</v>
      </c>
      <c r="F349" s="5">
        <v>128</v>
      </c>
      <c r="G349" s="5">
        <v>768</v>
      </c>
    </row>
    <row r="350" spans="1:7" ht="16.5">
      <c r="A350" s="5" t="s">
        <v>3280</v>
      </c>
      <c r="B350" s="10" t="s">
        <v>3281</v>
      </c>
      <c r="C350" s="5" t="s">
        <v>352</v>
      </c>
      <c r="D350" s="5" t="s">
        <v>3282</v>
      </c>
      <c r="E350" s="5" t="s">
        <v>3283</v>
      </c>
      <c r="F350" s="5">
        <v>68</v>
      </c>
      <c r="G350" s="5">
        <v>408</v>
      </c>
    </row>
    <row r="351" spans="1:7" ht="16.5">
      <c r="A351" s="5" t="s">
        <v>3284</v>
      </c>
      <c r="B351" s="10" t="s">
        <v>3285</v>
      </c>
      <c r="C351" s="5" t="s">
        <v>353</v>
      </c>
      <c r="D351" s="5" t="s">
        <v>3286</v>
      </c>
      <c r="E351" s="5" t="s">
        <v>3283</v>
      </c>
      <c r="F351" s="5">
        <v>68</v>
      </c>
      <c r="G351" s="5">
        <v>408</v>
      </c>
    </row>
    <row r="352" spans="1:7" ht="16.5">
      <c r="A352" s="5" t="s">
        <v>3287</v>
      </c>
      <c r="B352" s="10" t="s">
        <v>3288</v>
      </c>
      <c r="C352" s="5" t="s">
        <v>354</v>
      </c>
      <c r="D352" s="5" t="s">
        <v>3289</v>
      </c>
      <c r="E352" s="5" t="s">
        <v>3283</v>
      </c>
      <c r="F352" s="5">
        <v>35</v>
      </c>
      <c r="G352" s="5">
        <v>210</v>
      </c>
    </row>
    <row r="353" spans="1:7" ht="16.5">
      <c r="A353" s="5" t="s">
        <v>3290</v>
      </c>
      <c r="B353" s="10" t="s">
        <v>3291</v>
      </c>
      <c r="C353" s="5" t="s">
        <v>355</v>
      </c>
      <c r="D353" s="5" t="s">
        <v>2740</v>
      </c>
      <c r="E353" s="5" t="s">
        <v>3283</v>
      </c>
      <c r="F353" s="5">
        <v>20</v>
      </c>
      <c r="G353" s="5">
        <v>120</v>
      </c>
    </row>
    <row r="354" spans="1:7" ht="16.5">
      <c r="A354" s="5" t="s">
        <v>3292</v>
      </c>
      <c r="B354" s="10" t="s">
        <v>3293</v>
      </c>
      <c r="C354" s="5" t="s">
        <v>356</v>
      </c>
      <c r="D354" s="5" t="s">
        <v>3294</v>
      </c>
      <c r="E354" s="5" t="s">
        <v>3283</v>
      </c>
      <c r="F354" s="5">
        <v>38</v>
      </c>
      <c r="G354" s="5">
        <v>228</v>
      </c>
    </row>
    <row r="355" spans="1:7" ht="16.5">
      <c r="A355" s="5" t="s">
        <v>3295</v>
      </c>
      <c r="B355" s="10" t="s">
        <v>3296</v>
      </c>
      <c r="C355" s="5" t="s">
        <v>357</v>
      </c>
      <c r="D355" s="5" t="s">
        <v>3297</v>
      </c>
      <c r="E355" s="5" t="s">
        <v>3298</v>
      </c>
      <c r="F355" s="5">
        <v>350</v>
      </c>
      <c r="G355" s="5">
        <v>2100</v>
      </c>
    </row>
    <row r="356" spans="1:7" ht="16.5">
      <c r="A356" s="5" t="s">
        <v>3299</v>
      </c>
      <c r="B356" s="10" t="s">
        <v>3300</v>
      </c>
      <c r="C356" s="5" t="s">
        <v>358</v>
      </c>
      <c r="D356" s="5" t="s">
        <v>3301</v>
      </c>
      <c r="E356" s="5" t="s">
        <v>3302</v>
      </c>
      <c r="F356" s="5">
        <v>64.5</v>
      </c>
      <c r="G356" s="5">
        <v>387</v>
      </c>
    </row>
    <row r="357" spans="1:7" ht="16.5">
      <c r="A357" s="5" t="s">
        <v>3303</v>
      </c>
      <c r="B357" s="10" t="s">
        <v>3304</v>
      </c>
      <c r="C357" s="5" t="s">
        <v>359</v>
      </c>
      <c r="D357" s="5" t="s">
        <v>3305</v>
      </c>
      <c r="E357" s="5" t="s">
        <v>3302</v>
      </c>
      <c r="F357" s="5">
        <v>53</v>
      </c>
      <c r="G357" s="5">
        <v>318</v>
      </c>
    </row>
    <row r="358" spans="1:7" ht="16.5">
      <c r="A358" s="5" t="s">
        <v>3306</v>
      </c>
      <c r="B358" s="10" t="s">
        <v>3307</v>
      </c>
      <c r="C358" s="5" t="s">
        <v>360</v>
      </c>
      <c r="D358" s="5" t="s">
        <v>3308</v>
      </c>
      <c r="E358" s="5" t="s">
        <v>3302</v>
      </c>
      <c r="F358" s="5">
        <v>61</v>
      </c>
      <c r="G358" s="5">
        <v>366</v>
      </c>
    </row>
    <row r="359" spans="1:7" ht="16.5">
      <c r="A359" s="5" t="s">
        <v>3309</v>
      </c>
      <c r="B359" s="10" t="s">
        <v>3310</v>
      </c>
      <c r="C359" s="5" t="s">
        <v>361</v>
      </c>
      <c r="D359" s="5" t="s">
        <v>3311</v>
      </c>
      <c r="E359" s="5" t="s">
        <v>3302</v>
      </c>
      <c r="F359" s="5">
        <v>38.5</v>
      </c>
      <c r="G359" s="5">
        <v>231</v>
      </c>
    </row>
    <row r="360" spans="1:7" ht="16.5">
      <c r="A360" s="5" t="s">
        <v>3312</v>
      </c>
      <c r="B360" s="10" t="s">
        <v>3313</v>
      </c>
      <c r="C360" s="5" t="s">
        <v>362</v>
      </c>
      <c r="D360" s="5" t="s">
        <v>3314</v>
      </c>
      <c r="E360" s="5" t="s">
        <v>3302</v>
      </c>
      <c r="F360" s="5">
        <v>87.5</v>
      </c>
      <c r="G360" s="5">
        <v>525</v>
      </c>
    </row>
    <row r="361" spans="1:7" ht="16.5">
      <c r="A361" s="5" t="s">
        <v>3315</v>
      </c>
      <c r="B361" s="10" t="s">
        <v>3316</v>
      </c>
      <c r="C361" s="5" t="s">
        <v>363</v>
      </c>
      <c r="D361" s="5" t="s">
        <v>3317</v>
      </c>
      <c r="E361" s="5" t="s">
        <v>3302</v>
      </c>
      <c r="F361" s="5">
        <v>43</v>
      </c>
      <c r="G361" s="5">
        <v>258</v>
      </c>
    </row>
    <row r="362" spans="1:7" ht="16.5">
      <c r="A362" s="5" t="s">
        <v>3318</v>
      </c>
      <c r="B362" s="10" t="s">
        <v>3319</v>
      </c>
      <c r="C362" s="5" t="s">
        <v>364</v>
      </c>
      <c r="D362" s="5" t="s">
        <v>3320</v>
      </c>
      <c r="E362" s="5" t="s">
        <v>3302</v>
      </c>
      <c r="F362" s="5">
        <v>52</v>
      </c>
      <c r="G362" s="5">
        <v>312</v>
      </c>
    </row>
    <row r="363" spans="1:7" ht="16.5">
      <c r="A363" s="5" t="s">
        <v>3321</v>
      </c>
      <c r="B363" s="10" t="s">
        <v>3322</v>
      </c>
      <c r="C363" s="5" t="s">
        <v>365</v>
      </c>
      <c r="D363" s="5" t="s">
        <v>3297</v>
      </c>
      <c r="E363" s="5" t="s">
        <v>3302</v>
      </c>
      <c r="F363" s="5">
        <v>36</v>
      </c>
      <c r="G363" s="5">
        <v>216</v>
      </c>
    </row>
    <row r="364" spans="1:7" ht="16.5">
      <c r="A364" s="5" t="s">
        <v>3323</v>
      </c>
      <c r="B364" s="10" t="s">
        <v>3324</v>
      </c>
      <c r="C364" s="5" t="s">
        <v>3325</v>
      </c>
      <c r="D364" s="5" t="s">
        <v>3297</v>
      </c>
      <c r="E364" s="5" t="s">
        <v>3302</v>
      </c>
      <c r="F364" s="5">
        <v>560</v>
      </c>
      <c r="G364" s="5">
        <v>3360</v>
      </c>
    </row>
    <row r="365" spans="1:7" ht="16.5">
      <c r="A365" s="5" t="s">
        <v>3326</v>
      </c>
      <c r="B365" s="10" t="s">
        <v>3327</v>
      </c>
      <c r="C365" s="5" t="s">
        <v>366</v>
      </c>
      <c r="D365" s="5" t="s">
        <v>2236</v>
      </c>
      <c r="E365" s="5" t="s">
        <v>3302</v>
      </c>
      <c r="F365" s="5">
        <v>138</v>
      </c>
      <c r="G365" s="5">
        <v>828</v>
      </c>
    </row>
    <row r="366" spans="1:7" ht="16.5">
      <c r="A366" s="5" t="s">
        <v>3328</v>
      </c>
      <c r="B366" s="10" t="s">
        <v>3329</v>
      </c>
      <c r="C366" s="5" t="s">
        <v>367</v>
      </c>
      <c r="D366" s="5" t="s">
        <v>3330</v>
      </c>
      <c r="E366" s="5" t="s">
        <v>3302</v>
      </c>
      <c r="F366" s="5">
        <v>56</v>
      </c>
      <c r="G366" s="5">
        <v>336</v>
      </c>
    </row>
    <row r="367" spans="1:7" ht="16.5">
      <c r="A367" s="5" t="s">
        <v>3331</v>
      </c>
      <c r="B367" s="10" t="s">
        <v>3332</v>
      </c>
      <c r="C367" s="5" t="s">
        <v>368</v>
      </c>
      <c r="D367" s="5" t="s">
        <v>3314</v>
      </c>
      <c r="E367" s="5" t="s">
        <v>3302</v>
      </c>
      <c r="F367" s="5">
        <v>120</v>
      </c>
      <c r="G367" s="5">
        <v>720</v>
      </c>
    </row>
    <row r="368" spans="1:7" ht="16.5">
      <c r="A368" s="5" t="s">
        <v>3333</v>
      </c>
      <c r="B368" s="10" t="s">
        <v>3334</v>
      </c>
      <c r="C368" s="5" t="s">
        <v>369</v>
      </c>
      <c r="D368" s="5" t="s">
        <v>3335</v>
      </c>
      <c r="E368" s="5" t="s">
        <v>3302</v>
      </c>
      <c r="F368" s="5">
        <v>86.7</v>
      </c>
      <c r="G368" s="5">
        <v>520</v>
      </c>
    </row>
    <row r="369" spans="1:7" ht="16.5">
      <c r="A369" s="5" t="s">
        <v>3336</v>
      </c>
      <c r="B369" s="10" t="s">
        <v>3337</v>
      </c>
      <c r="C369" s="5" t="s">
        <v>370</v>
      </c>
      <c r="D369" s="5" t="s">
        <v>3305</v>
      </c>
      <c r="E369" s="5" t="s">
        <v>3302</v>
      </c>
      <c r="F369" s="5">
        <v>71.8</v>
      </c>
      <c r="G369" s="5">
        <v>431</v>
      </c>
    </row>
    <row r="370" spans="1:7" ht="16.5">
      <c r="A370" s="5" t="s">
        <v>3338</v>
      </c>
      <c r="B370" s="10" t="s">
        <v>3339</v>
      </c>
      <c r="C370" s="5" t="s">
        <v>371</v>
      </c>
      <c r="D370" s="5" t="s">
        <v>3317</v>
      </c>
      <c r="E370" s="5" t="s">
        <v>3302</v>
      </c>
      <c r="F370" s="5">
        <v>57.3</v>
      </c>
      <c r="G370" s="5">
        <v>344</v>
      </c>
    </row>
    <row r="371" spans="1:7" ht="16.5">
      <c r="A371" s="5" t="s">
        <v>3340</v>
      </c>
      <c r="B371" s="10" t="s">
        <v>3341</v>
      </c>
      <c r="C371" s="5" t="s">
        <v>372</v>
      </c>
      <c r="D371" s="5" t="s">
        <v>3301</v>
      </c>
      <c r="E371" s="5" t="s">
        <v>3302</v>
      </c>
      <c r="F371" s="5">
        <v>88</v>
      </c>
      <c r="G371" s="5">
        <v>528</v>
      </c>
    </row>
    <row r="372" spans="1:7" ht="16.5">
      <c r="A372" s="5" t="s">
        <v>3342</v>
      </c>
      <c r="B372" s="10" t="s">
        <v>3343</v>
      </c>
      <c r="C372" s="5" t="s">
        <v>373</v>
      </c>
      <c r="D372" s="5" t="s">
        <v>3308</v>
      </c>
      <c r="E372" s="5" t="s">
        <v>3302</v>
      </c>
      <c r="F372" s="5">
        <v>82</v>
      </c>
      <c r="G372" s="5">
        <v>492</v>
      </c>
    </row>
    <row r="373" spans="1:7" ht="16.5">
      <c r="A373" s="5" t="s">
        <v>3344</v>
      </c>
      <c r="B373" s="10" t="s">
        <v>3345</v>
      </c>
      <c r="C373" s="5" t="s">
        <v>374</v>
      </c>
      <c r="D373" s="5" t="s">
        <v>3346</v>
      </c>
      <c r="E373" s="5" t="s">
        <v>3302</v>
      </c>
      <c r="F373" s="5">
        <v>81.5</v>
      </c>
      <c r="G373" s="5">
        <v>489</v>
      </c>
    </row>
    <row r="374" spans="1:7" ht="16.5">
      <c r="A374" s="5" t="s">
        <v>3347</v>
      </c>
      <c r="B374" s="10" t="s">
        <v>3348</v>
      </c>
      <c r="C374" s="5" t="s">
        <v>375</v>
      </c>
      <c r="D374" s="5" t="s">
        <v>3349</v>
      </c>
      <c r="E374" s="5" t="s">
        <v>3302</v>
      </c>
      <c r="F374" s="5">
        <v>85</v>
      </c>
      <c r="G374" s="5">
        <v>510</v>
      </c>
    </row>
    <row r="375" spans="1:7" ht="16.5">
      <c r="A375" s="5" t="s">
        <v>3350</v>
      </c>
      <c r="B375" s="10" t="s">
        <v>3351</v>
      </c>
      <c r="C375" s="5" t="s">
        <v>376</v>
      </c>
      <c r="D375" s="5" t="s">
        <v>3352</v>
      </c>
      <c r="E375" s="5" t="s">
        <v>3302</v>
      </c>
      <c r="F375" s="5">
        <v>87</v>
      </c>
      <c r="G375" s="5">
        <v>522</v>
      </c>
    </row>
    <row r="376" spans="1:7" ht="16.5">
      <c r="A376" s="5" t="s">
        <v>3353</v>
      </c>
      <c r="B376" s="10" t="s">
        <v>3354</v>
      </c>
      <c r="C376" s="5" t="s">
        <v>377</v>
      </c>
      <c r="D376" s="5" t="s">
        <v>3297</v>
      </c>
      <c r="E376" s="5" t="s">
        <v>3302</v>
      </c>
      <c r="F376" s="5">
        <v>20</v>
      </c>
      <c r="G376" s="5">
        <v>120</v>
      </c>
    </row>
    <row r="377" spans="1:7" ht="16.5">
      <c r="A377" s="5" t="s">
        <v>3355</v>
      </c>
      <c r="B377" s="10" t="s">
        <v>3356</v>
      </c>
      <c r="C377" s="5" t="s">
        <v>378</v>
      </c>
      <c r="D377" s="5" t="s">
        <v>3297</v>
      </c>
      <c r="E377" s="5" t="s">
        <v>3302</v>
      </c>
      <c r="F377" s="5">
        <v>20</v>
      </c>
      <c r="G377" s="5">
        <v>120</v>
      </c>
    </row>
    <row r="378" spans="1:7" ht="16.5">
      <c r="A378" s="5" t="s">
        <v>3357</v>
      </c>
      <c r="B378" s="10" t="s">
        <v>3358</v>
      </c>
      <c r="C378" s="5" t="s">
        <v>379</v>
      </c>
      <c r="D378" s="5" t="s">
        <v>3297</v>
      </c>
      <c r="E378" s="5" t="s">
        <v>3302</v>
      </c>
      <c r="F378" s="5">
        <v>20</v>
      </c>
      <c r="G378" s="5">
        <v>120</v>
      </c>
    </row>
    <row r="379" spans="1:7" ht="16.5">
      <c r="A379" s="5" t="s">
        <v>3359</v>
      </c>
      <c r="B379" s="10" t="s">
        <v>3360</v>
      </c>
      <c r="C379" s="5" t="s">
        <v>380</v>
      </c>
      <c r="D379" s="5" t="s">
        <v>3297</v>
      </c>
      <c r="E379" s="5" t="s">
        <v>3302</v>
      </c>
      <c r="F379" s="5">
        <v>20</v>
      </c>
      <c r="G379" s="5">
        <v>120</v>
      </c>
    </row>
    <row r="380" spans="1:7" ht="16.5">
      <c r="A380" s="5" t="s">
        <v>3361</v>
      </c>
      <c r="B380" s="10" t="s">
        <v>3362</v>
      </c>
      <c r="C380" s="5" t="s">
        <v>381</v>
      </c>
      <c r="D380" s="5" t="s">
        <v>3297</v>
      </c>
      <c r="E380" s="5" t="s">
        <v>3302</v>
      </c>
      <c r="F380" s="5">
        <v>20</v>
      </c>
      <c r="G380" s="5">
        <v>120</v>
      </c>
    </row>
    <row r="381" spans="1:7" ht="16.5">
      <c r="A381" s="5" t="s">
        <v>3363</v>
      </c>
      <c r="B381" s="10" t="s">
        <v>3364</v>
      </c>
      <c r="C381" s="5" t="s">
        <v>382</v>
      </c>
      <c r="D381" s="5" t="s">
        <v>3297</v>
      </c>
      <c r="E381" s="5" t="s">
        <v>3302</v>
      </c>
      <c r="F381" s="5">
        <v>20</v>
      </c>
      <c r="G381" s="5">
        <v>120</v>
      </c>
    </row>
    <row r="382" spans="1:7" ht="16.5">
      <c r="A382" s="5" t="s">
        <v>3365</v>
      </c>
      <c r="B382" s="10" t="s">
        <v>3366</v>
      </c>
      <c r="C382" s="5" t="s">
        <v>383</v>
      </c>
      <c r="D382" s="5" t="s">
        <v>3297</v>
      </c>
      <c r="E382" s="5" t="s">
        <v>3302</v>
      </c>
      <c r="F382" s="5">
        <v>20</v>
      </c>
      <c r="G382" s="5">
        <v>120</v>
      </c>
    </row>
    <row r="383" spans="1:7" ht="16.5">
      <c r="A383" s="5" t="s">
        <v>3367</v>
      </c>
      <c r="B383" s="10" t="s">
        <v>3368</v>
      </c>
      <c r="C383" s="5" t="s">
        <v>384</v>
      </c>
      <c r="D383" s="5" t="s">
        <v>3297</v>
      </c>
      <c r="E383" s="5" t="s">
        <v>3302</v>
      </c>
      <c r="F383" s="5">
        <v>20</v>
      </c>
      <c r="G383" s="5">
        <v>120</v>
      </c>
    </row>
    <row r="384" spans="1:7" ht="16.5">
      <c r="A384" s="5" t="s">
        <v>3369</v>
      </c>
      <c r="B384" s="10" t="s">
        <v>3370</v>
      </c>
      <c r="C384" s="5" t="s">
        <v>385</v>
      </c>
      <c r="D384" s="5" t="s">
        <v>3297</v>
      </c>
      <c r="E384" s="5" t="s">
        <v>3302</v>
      </c>
      <c r="F384" s="5">
        <v>390</v>
      </c>
      <c r="G384" s="5">
        <v>2340</v>
      </c>
    </row>
    <row r="385" spans="1:7" ht="16.5">
      <c r="A385" s="5" t="s">
        <v>3371</v>
      </c>
      <c r="B385" s="10" t="s">
        <v>3372</v>
      </c>
      <c r="C385" s="5" t="s">
        <v>386</v>
      </c>
      <c r="D385" s="5" t="s">
        <v>3297</v>
      </c>
      <c r="E385" s="5" t="s">
        <v>3302</v>
      </c>
      <c r="F385" s="5">
        <v>20</v>
      </c>
      <c r="G385" s="5">
        <v>120</v>
      </c>
    </row>
    <row r="386" spans="1:7" ht="16.5">
      <c r="A386" s="5" t="s">
        <v>3373</v>
      </c>
      <c r="B386" s="10" t="s">
        <v>3374</v>
      </c>
      <c r="C386" s="5" t="s">
        <v>387</v>
      </c>
      <c r="D386" s="5" t="s">
        <v>3297</v>
      </c>
      <c r="E386" s="5" t="s">
        <v>3302</v>
      </c>
      <c r="F386" s="5">
        <v>20</v>
      </c>
      <c r="G386" s="5">
        <v>120</v>
      </c>
    </row>
    <row r="387" spans="1:7" ht="16.5">
      <c r="A387" s="5" t="s">
        <v>3375</v>
      </c>
      <c r="B387" s="10" t="s">
        <v>3376</v>
      </c>
      <c r="C387" s="5" t="s">
        <v>3377</v>
      </c>
      <c r="D387" s="5" t="s">
        <v>3297</v>
      </c>
      <c r="E387" s="5" t="s">
        <v>3302</v>
      </c>
      <c r="F387" s="5">
        <v>490</v>
      </c>
      <c r="G387" s="5">
        <v>2940</v>
      </c>
    </row>
    <row r="388" spans="1:7" ht="16.5">
      <c r="A388" s="5" t="s">
        <v>3378</v>
      </c>
      <c r="B388" s="10" t="s">
        <v>3379</v>
      </c>
      <c r="C388" s="5" t="s">
        <v>3380</v>
      </c>
      <c r="D388" s="5" t="s">
        <v>3297</v>
      </c>
      <c r="E388" s="5" t="s">
        <v>3302</v>
      </c>
      <c r="F388" s="5">
        <v>230</v>
      </c>
      <c r="G388" s="5">
        <v>1380</v>
      </c>
    </row>
    <row r="389" spans="1:7" ht="16.5">
      <c r="A389" s="5" t="s">
        <v>3381</v>
      </c>
      <c r="B389" s="10" t="s">
        <v>3382</v>
      </c>
      <c r="C389" s="5" t="s">
        <v>3383</v>
      </c>
      <c r="D389" s="5" t="s">
        <v>3297</v>
      </c>
      <c r="E389" s="5" t="s">
        <v>3302</v>
      </c>
      <c r="F389" s="5">
        <v>230</v>
      </c>
      <c r="G389" s="5">
        <v>1380</v>
      </c>
    </row>
    <row r="390" spans="1:7" ht="16.5">
      <c r="A390" s="5" t="s">
        <v>3384</v>
      </c>
      <c r="B390" s="10" t="s">
        <v>3385</v>
      </c>
      <c r="C390" s="5" t="s">
        <v>3386</v>
      </c>
      <c r="D390" s="5" t="s">
        <v>3297</v>
      </c>
      <c r="E390" s="5" t="s">
        <v>3302</v>
      </c>
      <c r="F390" s="5">
        <v>230</v>
      </c>
      <c r="G390" s="5">
        <v>1380</v>
      </c>
    </row>
    <row r="391" spans="1:7" ht="16.5">
      <c r="A391" s="5" t="s">
        <v>3387</v>
      </c>
      <c r="B391" s="10" t="s">
        <v>3388</v>
      </c>
      <c r="C391" s="5" t="s">
        <v>388</v>
      </c>
      <c r="D391" s="5" t="s">
        <v>3297</v>
      </c>
      <c r="E391" s="5" t="s">
        <v>3302</v>
      </c>
      <c r="F391" s="5">
        <v>102</v>
      </c>
      <c r="G391" s="5">
        <v>612</v>
      </c>
    </row>
    <row r="392" spans="1:7" ht="16.5">
      <c r="A392" s="5" t="s">
        <v>3389</v>
      </c>
      <c r="B392" s="10" t="s">
        <v>3390</v>
      </c>
      <c r="C392" s="5" t="s">
        <v>389</v>
      </c>
      <c r="D392" s="5" t="s">
        <v>3297</v>
      </c>
      <c r="E392" s="5" t="s">
        <v>3302</v>
      </c>
      <c r="F392" s="5">
        <v>98</v>
      </c>
      <c r="G392" s="5">
        <v>588</v>
      </c>
    </row>
    <row r="393" spans="1:7" ht="16.5">
      <c r="A393" s="5" t="s">
        <v>3391</v>
      </c>
      <c r="B393" s="10" t="s">
        <v>3392</v>
      </c>
      <c r="C393" s="5" t="s">
        <v>390</v>
      </c>
      <c r="D393" s="5" t="s">
        <v>3297</v>
      </c>
      <c r="E393" s="5" t="s">
        <v>3302</v>
      </c>
      <c r="F393" s="5">
        <v>65</v>
      </c>
      <c r="G393" s="5">
        <v>390</v>
      </c>
    </row>
    <row r="394" spans="1:7" ht="16.5">
      <c r="A394" s="5" t="s">
        <v>3393</v>
      </c>
      <c r="B394" s="10" t="s">
        <v>3394</v>
      </c>
      <c r="C394" s="5" t="s">
        <v>391</v>
      </c>
      <c r="D394" s="5" t="s">
        <v>3297</v>
      </c>
      <c r="E394" s="5" t="s">
        <v>3302</v>
      </c>
      <c r="F394" s="5">
        <v>320</v>
      </c>
      <c r="G394" s="5">
        <v>1920</v>
      </c>
    </row>
    <row r="395" spans="1:7" ht="16.5">
      <c r="A395" s="5" t="s">
        <v>3395</v>
      </c>
      <c r="B395" s="10" t="s">
        <v>3396</v>
      </c>
      <c r="C395" s="5" t="s">
        <v>392</v>
      </c>
      <c r="D395" s="5" t="s">
        <v>2236</v>
      </c>
      <c r="E395" s="5" t="s">
        <v>3302</v>
      </c>
      <c r="F395" s="5">
        <v>50</v>
      </c>
      <c r="G395" s="5">
        <v>300</v>
      </c>
    </row>
    <row r="396" spans="1:7" ht="16.5">
      <c r="A396" s="5" t="s">
        <v>3397</v>
      </c>
      <c r="B396" s="10" t="s">
        <v>3398</v>
      </c>
      <c r="C396" s="5" t="s">
        <v>393</v>
      </c>
      <c r="D396" s="5" t="s">
        <v>3399</v>
      </c>
      <c r="E396" s="5" t="s">
        <v>3400</v>
      </c>
      <c r="F396" s="5">
        <v>25</v>
      </c>
      <c r="G396" s="5">
        <v>150</v>
      </c>
    </row>
    <row r="397" spans="1:7" ht="16.5">
      <c r="A397" s="5" t="s">
        <v>3401</v>
      </c>
      <c r="B397" s="10" t="s">
        <v>3402</v>
      </c>
      <c r="C397" s="5" t="s">
        <v>394</v>
      </c>
      <c r="D397" s="5" t="s">
        <v>3403</v>
      </c>
      <c r="E397" s="5" t="s">
        <v>3400</v>
      </c>
      <c r="F397" s="5">
        <v>28</v>
      </c>
      <c r="G397" s="5">
        <v>168</v>
      </c>
    </row>
    <row r="398" spans="1:7" ht="16.5">
      <c r="A398" s="5" t="s">
        <v>3404</v>
      </c>
      <c r="B398" s="10" t="s">
        <v>3405</v>
      </c>
      <c r="C398" s="5" t="s">
        <v>395</v>
      </c>
      <c r="D398" s="5" t="s">
        <v>3406</v>
      </c>
      <c r="E398" s="5" t="s">
        <v>3400</v>
      </c>
      <c r="F398" s="5">
        <v>28</v>
      </c>
      <c r="G398" s="5">
        <v>168</v>
      </c>
    </row>
    <row r="399" spans="1:7" ht="16.5">
      <c r="A399" s="5" t="s">
        <v>3407</v>
      </c>
      <c r="B399" s="10" t="s">
        <v>3408</v>
      </c>
      <c r="C399" s="5" t="s">
        <v>396</v>
      </c>
      <c r="D399" s="5" t="s">
        <v>2236</v>
      </c>
      <c r="E399" s="5" t="s">
        <v>3409</v>
      </c>
      <c r="F399" s="5">
        <v>55</v>
      </c>
      <c r="G399" s="5">
        <v>330</v>
      </c>
    </row>
    <row r="400" spans="1:7" ht="16.5">
      <c r="A400" s="5" t="s">
        <v>3410</v>
      </c>
      <c r="B400" s="10" t="s">
        <v>3411</v>
      </c>
      <c r="C400" s="5" t="s">
        <v>397</v>
      </c>
      <c r="D400" s="5" t="s">
        <v>3412</v>
      </c>
      <c r="E400" s="5" t="s">
        <v>3409</v>
      </c>
      <c r="F400" s="5">
        <v>38</v>
      </c>
      <c r="G400" s="5">
        <v>228</v>
      </c>
    </row>
    <row r="401" spans="1:7" ht="16.5">
      <c r="A401" s="5" t="s">
        <v>3413</v>
      </c>
      <c r="B401" s="10" t="s">
        <v>3414</v>
      </c>
      <c r="C401" s="5" t="s">
        <v>398</v>
      </c>
      <c r="D401" s="5" t="s">
        <v>3415</v>
      </c>
      <c r="E401" s="5" t="s">
        <v>3409</v>
      </c>
      <c r="F401" s="5">
        <v>28</v>
      </c>
      <c r="G401" s="5">
        <v>168</v>
      </c>
    </row>
    <row r="402" spans="1:7" ht="16.5">
      <c r="A402" s="5" t="s">
        <v>3416</v>
      </c>
      <c r="B402" s="10" t="s">
        <v>3417</v>
      </c>
      <c r="C402" s="5" t="s">
        <v>399</v>
      </c>
      <c r="D402" s="5" t="s">
        <v>3418</v>
      </c>
      <c r="E402" s="5" t="s">
        <v>3409</v>
      </c>
      <c r="F402" s="5">
        <v>16.8</v>
      </c>
      <c r="G402" s="5">
        <v>101</v>
      </c>
    </row>
    <row r="403" spans="1:7" ht="16.5">
      <c r="A403" s="5" t="s">
        <v>3419</v>
      </c>
      <c r="B403" s="10" t="s">
        <v>3420</v>
      </c>
      <c r="C403" s="5" t="s">
        <v>400</v>
      </c>
      <c r="D403" s="5" t="s">
        <v>2236</v>
      </c>
      <c r="E403" s="5" t="s">
        <v>3409</v>
      </c>
      <c r="F403" s="5">
        <v>58</v>
      </c>
      <c r="G403" s="5">
        <v>348</v>
      </c>
    </row>
    <row r="404" spans="1:7" ht="16.5">
      <c r="A404" s="5" t="s">
        <v>3421</v>
      </c>
      <c r="B404" s="10" t="s">
        <v>3422</v>
      </c>
      <c r="C404" s="5" t="s">
        <v>401</v>
      </c>
      <c r="D404" s="5" t="s">
        <v>2236</v>
      </c>
      <c r="E404" s="5" t="s">
        <v>3409</v>
      </c>
      <c r="F404" s="5">
        <v>58</v>
      </c>
      <c r="G404" s="5">
        <v>348</v>
      </c>
    </row>
    <row r="405" spans="1:7" ht="16.5">
      <c r="A405" s="5" t="s">
        <v>3423</v>
      </c>
      <c r="B405" s="10" t="s">
        <v>3424</v>
      </c>
      <c r="C405" s="5" t="s">
        <v>402</v>
      </c>
      <c r="D405" s="5" t="s">
        <v>3425</v>
      </c>
      <c r="E405" s="5" t="s">
        <v>3409</v>
      </c>
      <c r="F405" s="5">
        <v>16</v>
      </c>
      <c r="G405" s="5">
        <v>96</v>
      </c>
    </row>
    <row r="406" spans="1:7" ht="16.5">
      <c r="A406" s="5" t="s">
        <v>3426</v>
      </c>
      <c r="B406" s="10" t="s">
        <v>3427</v>
      </c>
      <c r="C406" s="5" t="s">
        <v>403</v>
      </c>
      <c r="D406" s="5" t="s">
        <v>3428</v>
      </c>
      <c r="E406" s="5" t="s">
        <v>3409</v>
      </c>
      <c r="F406" s="5">
        <v>39</v>
      </c>
      <c r="G406" s="5">
        <v>228</v>
      </c>
    </row>
    <row r="407" spans="1:7" ht="16.5">
      <c r="A407" s="5" t="s">
        <v>3429</v>
      </c>
      <c r="B407" s="10" t="s">
        <v>3430</v>
      </c>
      <c r="C407" s="5" t="s">
        <v>404</v>
      </c>
      <c r="D407" s="5" t="s">
        <v>3431</v>
      </c>
      <c r="E407" s="5" t="s">
        <v>3409</v>
      </c>
      <c r="F407" s="5">
        <v>36.8</v>
      </c>
      <c r="G407" s="5">
        <v>221</v>
      </c>
    </row>
    <row r="408" spans="1:7" ht="16.5">
      <c r="A408" s="5" t="s">
        <v>3432</v>
      </c>
      <c r="B408" s="10" t="s">
        <v>3433</v>
      </c>
      <c r="C408" s="5" t="s">
        <v>405</v>
      </c>
      <c r="D408" s="5" t="s">
        <v>3434</v>
      </c>
      <c r="E408" s="5" t="s">
        <v>3409</v>
      </c>
      <c r="F408" s="5">
        <v>68</v>
      </c>
      <c r="G408" s="5">
        <v>408</v>
      </c>
    </row>
    <row r="409" spans="1:7" ht="16.5">
      <c r="A409" s="5" t="s">
        <v>3435</v>
      </c>
      <c r="B409" s="10" t="s">
        <v>3436</v>
      </c>
      <c r="C409" s="5" t="s">
        <v>406</v>
      </c>
      <c r="D409" s="5" t="s">
        <v>3434</v>
      </c>
      <c r="E409" s="5" t="s">
        <v>3409</v>
      </c>
      <c r="F409" s="5">
        <v>59.8</v>
      </c>
      <c r="G409" s="5">
        <v>359</v>
      </c>
    </row>
    <row r="410" spans="1:7" ht="16.5">
      <c r="A410" s="5" t="s">
        <v>3437</v>
      </c>
      <c r="B410" s="10" t="s">
        <v>3438</v>
      </c>
      <c r="C410" s="5" t="s">
        <v>407</v>
      </c>
      <c r="D410" s="5" t="s">
        <v>3439</v>
      </c>
      <c r="E410" s="5" t="s">
        <v>3440</v>
      </c>
      <c r="F410" s="5">
        <v>38</v>
      </c>
      <c r="G410" s="5">
        <v>228</v>
      </c>
    </row>
    <row r="411" spans="1:7" ht="16.5">
      <c r="A411" s="5" t="s">
        <v>3441</v>
      </c>
      <c r="B411" s="10" t="s">
        <v>3442</v>
      </c>
      <c r="C411" s="5" t="s">
        <v>408</v>
      </c>
      <c r="D411" s="5" t="s">
        <v>3443</v>
      </c>
      <c r="E411" s="5" t="s">
        <v>3440</v>
      </c>
      <c r="F411" s="5">
        <v>39.8</v>
      </c>
      <c r="G411" s="5">
        <v>239</v>
      </c>
    </row>
    <row r="412" spans="1:7" ht="16.5">
      <c r="A412" s="5" t="s">
        <v>3444</v>
      </c>
      <c r="B412" s="10" t="s">
        <v>3445</v>
      </c>
      <c r="C412" s="5" t="s">
        <v>409</v>
      </c>
      <c r="D412" s="5" t="s">
        <v>3446</v>
      </c>
      <c r="E412" s="5" t="s">
        <v>3409</v>
      </c>
      <c r="F412" s="5">
        <v>58</v>
      </c>
      <c r="G412" s="5">
        <v>348</v>
      </c>
    </row>
    <row r="413" spans="1:7" ht="16.5">
      <c r="A413" s="5" t="s">
        <v>3447</v>
      </c>
      <c r="B413" s="10" t="s">
        <v>3448</v>
      </c>
      <c r="C413" s="5" t="s">
        <v>410</v>
      </c>
      <c r="D413" s="5" t="s">
        <v>3449</v>
      </c>
      <c r="E413" s="5" t="s">
        <v>3440</v>
      </c>
      <c r="F413" s="5">
        <v>49</v>
      </c>
      <c r="G413" s="5">
        <v>294</v>
      </c>
    </row>
    <row r="414" spans="1:7" ht="16.5">
      <c r="A414" s="5" t="s">
        <v>3450</v>
      </c>
      <c r="B414" s="10" t="s">
        <v>3451</v>
      </c>
      <c r="C414" s="5" t="s">
        <v>411</v>
      </c>
      <c r="D414" s="5" t="s">
        <v>3452</v>
      </c>
      <c r="E414" s="5" t="s">
        <v>3440</v>
      </c>
      <c r="F414" s="5">
        <v>49</v>
      </c>
      <c r="G414" s="5">
        <v>294</v>
      </c>
    </row>
    <row r="415" spans="1:7" ht="16.5">
      <c r="A415" s="5" t="s">
        <v>3453</v>
      </c>
      <c r="B415" s="10" t="s">
        <v>3454</v>
      </c>
      <c r="C415" s="5" t="s">
        <v>412</v>
      </c>
      <c r="D415" s="5" t="s">
        <v>3455</v>
      </c>
      <c r="E415" s="5" t="s">
        <v>3409</v>
      </c>
      <c r="F415" s="5">
        <v>27</v>
      </c>
      <c r="G415" s="5">
        <v>162</v>
      </c>
    </row>
    <row r="416" spans="1:7" ht="16.5">
      <c r="A416" s="5" t="s">
        <v>3456</v>
      </c>
      <c r="B416" s="10" t="s">
        <v>3457</v>
      </c>
      <c r="C416" s="5" t="s">
        <v>413</v>
      </c>
      <c r="D416" s="5" t="s">
        <v>3458</v>
      </c>
      <c r="E416" s="5" t="s">
        <v>3440</v>
      </c>
      <c r="F416" s="5">
        <v>49.8</v>
      </c>
      <c r="G416" s="5">
        <v>299</v>
      </c>
    </row>
    <row r="417" spans="1:7" ht="16.5">
      <c r="A417" s="5" t="s">
        <v>3459</v>
      </c>
      <c r="B417" s="10" t="s">
        <v>3460</v>
      </c>
      <c r="C417" s="5" t="s">
        <v>414</v>
      </c>
      <c r="D417" s="5" t="s">
        <v>3461</v>
      </c>
      <c r="E417" s="5" t="s">
        <v>3440</v>
      </c>
      <c r="F417" s="5">
        <v>39.8</v>
      </c>
      <c r="G417" s="5">
        <v>239</v>
      </c>
    </row>
    <row r="418" spans="1:7" ht="16.5">
      <c r="A418" s="5" t="s">
        <v>3462</v>
      </c>
      <c r="B418" s="10" t="s">
        <v>3463</v>
      </c>
      <c r="C418" s="5" t="s">
        <v>415</v>
      </c>
      <c r="D418" s="5" t="s">
        <v>3464</v>
      </c>
      <c r="E418" s="5" t="s">
        <v>3409</v>
      </c>
      <c r="F418" s="5">
        <v>36</v>
      </c>
      <c r="G418" s="5">
        <v>216</v>
      </c>
    </row>
    <row r="419" spans="1:7" ht="16.5">
      <c r="A419" s="5" t="s">
        <v>3465</v>
      </c>
      <c r="B419" s="10" t="s">
        <v>3466</v>
      </c>
      <c r="C419" s="5" t="s">
        <v>416</v>
      </c>
      <c r="D419" s="5" t="s">
        <v>3467</v>
      </c>
      <c r="E419" s="5" t="s">
        <v>3440</v>
      </c>
      <c r="F419" s="5">
        <v>26</v>
      </c>
      <c r="G419" s="5">
        <v>156</v>
      </c>
    </row>
    <row r="420" spans="1:7" ht="16.5">
      <c r="A420" s="5" t="s">
        <v>3468</v>
      </c>
      <c r="B420" s="10" t="s">
        <v>3469</v>
      </c>
      <c r="C420" s="5" t="s">
        <v>417</v>
      </c>
      <c r="D420" s="5" t="s">
        <v>3470</v>
      </c>
      <c r="E420" s="5" t="s">
        <v>3440</v>
      </c>
      <c r="F420" s="5">
        <v>38</v>
      </c>
      <c r="G420" s="5">
        <v>228</v>
      </c>
    </row>
    <row r="421" spans="1:7" ht="16.5">
      <c r="A421" s="5" t="s">
        <v>3471</v>
      </c>
      <c r="B421" s="10" t="s">
        <v>3472</v>
      </c>
      <c r="C421" s="5" t="s">
        <v>418</v>
      </c>
      <c r="D421" s="5" t="s">
        <v>3473</v>
      </c>
      <c r="E421" s="5" t="s">
        <v>3440</v>
      </c>
      <c r="F421" s="5">
        <v>28</v>
      </c>
      <c r="G421" s="5">
        <v>168</v>
      </c>
    </row>
    <row r="422" spans="1:7" ht="16.5">
      <c r="A422" s="5" t="s">
        <v>3474</v>
      </c>
      <c r="B422" s="10" t="s">
        <v>3475</v>
      </c>
      <c r="C422" s="5" t="s">
        <v>419</v>
      </c>
      <c r="D422" s="5" t="s">
        <v>3476</v>
      </c>
      <c r="E422" s="5" t="s">
        <v>3440</v>
      </c>
      <c r="F422" s="5">
        <v>28</v>
      </c>
      <c r="G422" s="5">
        <v>168</v>
      </c>
    </row>
    <row r="423" spans="1:7" ht="16.5">
      <c r="A423" s="5" t="s">
        <v>3477</v>
      </c>
      <c r="B423" s="10" t="s">
        <v>3478</v>
      </c>
      <c r="C423" s="5" t="s">
        <v>420</v>
      </c>
      <c r="D423" s="5" t="s">
        <v>3479</v>
      </c>
      <c r="E423" s="5" t="s">
        <v>3440</v>
      </c>
      <c r="F423" s="5">
        <v>48</v>
      </c>
      <c r="G423" s="5">
        <v>288</v>
      </c>
    </row>
    <row r="424" spans="1:7" ht="16.5">
      <c r="A424" s="5" t="s">
        <v>3480</v>
      </c>
      <c r="B424" s="10" t="s">
        <v>3481</v>
      </c>
      <c r="C424" s="5" t="s">
        <v>421</v>
      </c>
      <c r="D424" s="5" t="s">
        <v>3482</v>
      </c>
      <c r="E424" s="5" t="s">
        <v>3440</v>
      </c>
      <c r="F424" s="5">
        <v>39</v>
      </c>
      <c r="G424" s="5">
        <v>234</v>
      </c>
    </row>
    <row r="425" spans="1:7" ht="16.5">
      <c r="A425" s="5" t="s">
        <v>3483</v>
      </c>
      <c r="B425" s="10" t="s">
        <v>3484</v>
      </c>
      <c r="C425" s="5" t="s">
        <v>422</v>
      </c>
      <c r="D425" s="5" t="s">
        <v>3485</v>
      </c>
      <c r="E425" s="5" t="s">
        <v>3440</v>
      </c>
      <c r="F425" s="5">
        <v>59</v>
      </c>
      <c r="G425" s="5">
        <v>354</v>
      </c>
    </row>
    <row r="426" spans="1:7" ht="16.5">
      <c r="A426" s="5" t="s">
        <v>3486</v>
      </c>
      <c r="B426" s="10" t="s">
        <v>3487</v>
      </c>
      <c r="C426" s="5" t="s">
        <v>423</v>
      </c>
      <c r="D426" s="5" t="s">
        <v>3488</v>
      </c>
      <c r="E426" s="5" t="s">
        <v>3440</v>
      </c>
      <c r="F426" s="5">
        <v>52</v>
      </c>
      <c r="G426" s="5">
        <v>312</v>
      </c>
    </row>
    <row r="427" spans="1:7" ht="16.5">
      <c r="A427" s="5" t="s">
        <v>3489</v>
      </c>
      <c r="B427" s="10" t="s">
        <v>3490</v>
      </c>
      <c r="C427" s="5" t="s">
        <v>424</v>
      </c>
      <c r="D427" s="5" t="s">
        <v>3491</v>
      </c>
      <c r="E427" s="5" t="s">
        <v>3409</v>
      </c>
      <c r="F427" s="5">
        <v>29.8</v>
      </c>
      <c r="G427" s="5">
        <v>179</v>
      </c>
    </row>
    <row r="428" spans="1:7" ht="16.5">
      <c r="A428" s="5" t="s">
        <v>3492</v>
      </c>
      <c r="B428" s="10" t="s">
        <v>3493</v>
      </c>
      <c r="C428" s="5" t="s">
        <v>425</v>
      </c>
      <c r="D428" s="5" t="s">
        <v>3494</v>
      </c>
      <c r="E428" s="5" t="s">
        <v>3409</v>
      </c>
      <c r="F428" s="5">
        <v>48</v>
      </c>
      <c r="G428" s="5">
        <v>288</v>
      </c>
    </row>
    <row r="429" spans="1:7" ht="16.5">
      <c r="A429" s="5" t="s">
        <v>3495</v>
      </c>
      <c r="B429" s="10" t="s">
        <v>3496</v>
      </c>
      <c r="C429" s="5" t="s">
        <v>426</v>
      </c>
      <c r="D429" s="5" t="s">
        <v>2315</v>
      </c>
      <c r="E429" s="5" t="s">
        <v>3409</v>
      </c>
      <c r="F429" s="5">
        <v>39.8</v>
      </c>
      <c r="G429" s="5">
        <v>239</v>
      </c>
    </row>
    <row r="430" spans="1:7" ht="16.5">
      <c r="A430" s="5" t="s">
        <v>3497</v>
      </c>
      <c r="B430" s="10" t="s">
        <v>3498</v>
      </c>
      <c r="C430" s="5" t="s">
        <v>427</v>
      </c>
      <c r="D430" s="5" t="s">
        <v>3499</v>
      </c>
      <c r="E430" s="5" t="s">
        <v>3409</v>
      </c>
      <c r="F430" s="5">
        <v>36</v>
      </c>
      <c r="G430" s="5">
        <v>216</v>
      </c>
    </row>
    <row r="431" spans="1:7" ht="16.5">
      <c r="A431" s="5" t="s">
        <v>3500</v>
      </c>
      <c r="B431" s="10" t="s">
        <v>3501</v>
      </c>
      <c r="C431" s="5" t="s">
        <v>428</v>
      </c>
      <c r="D431" s="5" t="s">
        <v>3499</v>
      </c>
      <c r="E431" s="5" t="s">
        <v>3409</v>
      </c>
      <c r="F431" s="5">
        <v>32</v>
      </c>
      <c r="G431" s="5">
        <v>192</v>
      </c>
    </row>
    <row r="432" spans="1:7" ht="16.5">
      <c r="A432" s="5" t="s">
        <v>3502</v>
      </c>
      <c r="B432" s="10" t="s">
        <v>3503</v>
      </c>
      <c r="C432" s="5" t="s">
        <v>429</v>
      </c>
      <c r="D432" s="5" t="s">
        <v>3504</v>
      </c>
      <c r="E432" s="5" t="s">
        <v>3440</v>
      </c>
      <c r="F432" s="5">
        <v>48</v>
      </c>
      <c r="G432" s="5">
        <v>288</v>
      </c>
    </row>
    <row r="433" spans="1:7" ht="16.5">
      <c r="A433" s="5" t="s">
        <v>3505</v>
      </c>
      <c r="B433" s="10" t="s">
        <v>3506</v>
      </c>
      <c r="C433" s="5" t="s">
        <v>430</v>
      </c>
      <c r="D433" s="5" t="s">
        <v>3507</v>
      </c>
      <c r="E433" s="5" t="s">
        <v>3409</v>
      </c>
      <c r="F433" s="5">
        <v>25</v>
      </c>
      <c r="G433" s="5">
        <v>150</v>
      </c>
    </row>
    <row r="434" spans="1:7" ht="16.5">
      <c r="A434" s="5" t="s">
        <v>3508</v>
      </c>
      <c r="B434" s="10" t="s">
        <v>3509</v>
      </c>
      <c r="C434" s="5" t="s">
        <v>431</v>
      </c>
      <c r="D434" s="5" t="s">
        <v>3510</v>
      </c>
      <c r="E434" s="5" t="s">
        <v>3440</v>
      </c>
      <c r="F434" s="5">
        <v>39.8</v>
      </c>
      <c r="G434" s="5">
        <v>239</v>
      </c>
    </row>
    <row r="435" spans="1:7" ht="16.5">
      <c r="A435" s="5" t="s">
        <v>3511</v>
      </c>
      <c r="B435" s="10" t="s">
        <v>3512</v>
      </c>
      <c r="C435" s="5" t="s">
        <v>432</v>
      </c>
      <c r="D435" s="5" t="s">
        <v>3513</v>
      </c>
      <c r="E435" s="5" t="s">
        <v>3440</v>
      </c>
      <c r="F435" s="5">
        <v>108</v>
      </c>
      <c r="G435" s="5">
        <v>648</v>
      </c>
    </row>
    <row r="436" spans="1:7" ht="16.5">
      <c r="A436" s="5" t="s">
        <v>3514</v>
      </c>
      <c r="B436" s="10" t="s">
        <v>3515</v>
      </c>
      <c r="C436" s="5" t="s">
        <v>433</v>
      </c>
      <c r="D436" s="5" t="s">
        <v>3513</v>
      </c>
      <c r="E436" s="5" t="s">
        <v>3440</v>
      </c>
      <c r="F436" s="5">
        <v>148</v>
      </c>
      <c r="G436" s="5">
        <v>888</v>
      </c>
    </row>
    <row r="437" spans="1:7" ht="16.5">
      <c r="A437" s="5" t="s">
        <v>3516</v>
      </c>
      <c r="B437" s="10" t="s">
        <v>2236</v>
      </c>
      <c r="C437" s="5" t="s">
        <v>434</v>
      </c>
      <c r="D437" s="5" t="s">
        <v>3517</v>
      </c>
      <c r="E437" s="5" t="s">
        <v>2246</v>
      </c>
      <c r="F437" s="5">
        <v>88</v>
      </c>
      <c r="G437" s="5">
        <v>528</v>
      </c>
    </row>
    <row r="438" spans="1:7" ht="16.5">
      <c r="A438" s="5" t="s">
        <v>3518</v>
      </c>
      <c r="B438" s="10" t="s">
        <v>3519</v>
      </c>
      <c r="C438" s="5" t="s">
        <v>435</v>
      </c>
      <c r="D438" s="5" t="s">
        <v>3513</v>
      </c>
      <c r="E438" s="5" t="s">
        <v>3440</v>
      </c>
      <c r="F438" s="5">
        <v>98</v>
      </c>
      <c r="G438" s="5">
        <v>588</v>
      </c>
    </row>
    <row r="439" spans="1:7" ht="16.5">
      <c r="A439" s="5" t="s">
        <v>3520</v>
      </c>
      <c r="B439" s="10" t="s">
        <v>3521</v>
      </c>
      <c r="C439" s="5" t="s">
        <v>436</v>
      </c>
      <c r="D439" s="5" t="s">
        <v>2337</v>
      </c>
      <c r="E439" s="5" t="s">
        <v>3522</v>
      </c>
      <c r="F439" s="5">
        <v>40</v>
      </c>
      <c r="G439" s="5">
        <v>240</v>
      </c>
    </row>
    <row r="440" spans="1:7" ht="16.5">
      <c r="A440" s="5" t="s">
        <v>3523</v>
      </c>
      <c r="B440" s="10" t="s">
        <v>3524</v>
      </c>
      <c r="C440" s="5" t="s">
        <v>437</v>
      </c>
      <c r="D440" s="5" t="s">
        <v>3525</v>
      </c>
      <c r="E440" s="5" t="s">
        <v>3522</v>
      </c>
      <c r="F440" s="5">
        <v>40</v>
      </c>
      <c r="G440" s="5">
        <v>240</v>
      </c>
    </row>
    <row r="441" spans="1:7" ht="16.5">
      <c r="A441" s="5" t="s">
        <v>3526</v>
      </c>
      <c r="B441" s="10" t="s">
        <v>3527</v>
      </c>
      <c r="C441" s="5" t="s">
        <v>438</v>
      </c>
      <c r="D441" s="5" t="s">
        <v>3528</v>
      </c>
      <c r="E441" s="5" t="s">
        <v>3522</v>
      </c>
      <c r="F441" s="5">
        <v>40</v>
      </c>
      <c r="G441" s="5">
        <v>240</v>
      </c>
    </row>
    <row r="442" spans="1:7" ht="16.5">
      <c r="A442" s="5" t="s">
        <v>3529</v>
      </c>
      <c r="B442" s="10" t="s">
        <v>3530</v>
      </c>
      <c r="C442" s="5" t="s">
        <v>439</v>
      </c>
      <c r="D442" s="5" t="s">
        <v>2337</v>
      </c>
      <c r="E442" s="5" t="s">
        <v>3522</v>
      </c>
      <c r="F442" s="5">
        <v>40</v>
      </c>
      <c r="G442" s="5">
        <v>240</v>
      </c>
    </row>
    <row r="443" spans="1:7" ht="16.5">
      <c r="A443" s="5" t="s">
        <v>3531</v>
      </c>
      <c r="B443" s="10" t="s">
        <v>3532</v>
      </c>
      <c r="C443" s="5" t="s">
        <v>440</v>
      </c>
      <c r="D443" s="5" t="s">
        <v>3525</v>
      </c>
      <c r="E443" s="5" t="s">
        <v>3522</v>
      </c>
      <c r="F443" s="5">
        <v>40</v>
      </c>
      <c r="G443" s="5">
        <v>240</v>
      </c>
    </row>
    <row r="444" spans="1:7" ht="16.5">
      <c r="A444" s="5" t="s">
        <v>3533</v>
      </c>
      <c r="B444" s="10" t="s">
        <v>3534</v>
      </c>
      <c r="C444" s="5" t="s">
        <v>441</v>
      </c>
      <c r="D444" s="5" t="s">
        <v>2337</v>
      </c>
      <c r="E444" s="5" t="s">
        <v>3522</v>
      </c>
      <c r="F444" s="5">
        <v>40</v>
      </c>
      <c r="G444" s="5">
        <v>240</v>
      </c>
    </row>
    <row r="445" spans="1:7" ht="16.5">
      <c r="A445" s="5" t="s">
        <v>3535</v>
      </c>
      <c r="B445" s="10" t="s">
        <v>3536</v>
      </c>
      <c r="C445" s="5" t="s">
        <v>442</v>
      </c>
      <c r="D445" s="5" t="s">
        <v>3537</v>
      </c>
      <c r="E445" s="5" t="s">
        <v>3522</v>
      </c>
      <c r="F445" s="5">
        <v>20</v>
      </c>
      <c r="G445" s="5">
        <v>120</v>
      </c>
    </row>
    <row r="446" spans="1:7" ht="16.5">
      <c r="A446" s="5" t="s">
        <v>3538</v>
      </c>
      <c r="B446" s="10" t="s">
        <v>3539</v>
      </c>
      <c r="C446" s="5" t="s">
        <v>443</v>
      </c>
      <c r="D446" s="5" t="s">
        <v>3540</v>
      </c>
      <c r="E446" s="5" t="s">
        <v>3522</v>
      </c>
      <c r="F446" s="5">
        <v>32</v>
      </c>
      <c r="G446" s="5">
        <v>192</v>
      </c>
    </row>
    <row r="447" spans="1:7" ht="16.5">
      <c r="A447" s="5" t="s">
        <v>3541</v>
      </c>
      <c r="B447" s="10" t="s">
        <v>3542</v>
      </c>
      <c r="C447" s="5" t="s">
        <v>444</v>
      </c>
      <c r="D447" s="5" t="s">
        <v>3543</v>
      </c>
      <c r="E447" s="5" t="s">
        <v>3522</v>
      </c>
      <c r="F447" s="5">
        <v>28</v>
      </c>
      <c r="G447" s="5">
        <v>210</v>
      </c>
    </row>
    <row r="448" spans="1:7" ht="16.5">
      <c r="A448" s="5" t="s">
        <v>3544</v>
      </c>
      <c r="B448" s="10" t="s">
        <v>3545</v>
      </c>
      <c r="C448" s="5" t="s">
        <v>445</v>
      </c>
      <c r="D448" s="5" t="s">
        <v>3546</v>
      </c>
      <c r="E448" s="5" t="s">
        <v>3522</v>
      </c>
      <c r="F448" s="5">
        <v>25</v>
      </c>
      <c r="G448" s="5">
        <v>210</v>
      </c>
    </row>
    <row r="449" spans="1:7" ht="16.5">
      <c r="A449" s="5" t="s">
        <v>3547</v>
      </c>
      <c r="B449" s="10" t="s">
        <v>3548</v>
      </c>
      <c r="C449" s="5" t="s">
        <v>446</v>
      </c>
      <c r="D449" s="5" t="s">
        <v>3549</v>
      </c>
      <c r="E449" s="5" t="s">
        <v>3522</v>
      </c>
      <c r="F449" s="5">
        <v>27</v>
      </c>
      <c r="G449" s="5">
        <v>162</v>
      </c>
    </row>
    <row r="450" spans="1:7" ht="16.5">
      <c r="A450" s="5" t="s">
        <v>3550</v>
      </c>
      <c r="B450" s="10" t="s">
        <v>3551</v>
      </c>
      <c r="C450" s="5" t="s">
        <v>447</v>
      </c>
      <c r="D450" s="5" t="s">
        <v>3552</v>
      </c>
      <c r="E450" s="5" t="s">
        <v>3522</v>
      </c>
      <c r="F450" s="5">
        <v>20</v>
      </c>
      <c r="G450" s="5">
        <v>120</v>
      </c>
    </row>
    <row r="451" spans="1:7" ht="16.5">
      <c r="A451" s="5" t="s">
        <v>3553</v>
      </c>
      <c r="B451" s="10" t="s">
        <v>3554</v>
      </c>
      <c r="C451" s="5" t="s">
        <v>448</v>
      </c>
      <c r="D451" s="5" t="s">
        <v>3555</v>
      </c>
      <c r="E451" s="5" t="s">
        <v>3522</v>
      </c>
      <c r="F451" s="5">
        <v>40</v>
      </c>
      <c r="G451" s="5">
        <v>240</v>
      </c>
    </row>
    <row r="452" spans="1:7" ht="16.5">
      <c r="A452" s="5" t="s">
        <v>3556</v>
      </c>
      <c r="B452" s="10" t="s">
        <v>3557</v>
      </c>
      <c r="C452" s="5" t="s">
        <v>449</v>
      </c>
      <c r="D452" s="5" t="s">
        <v>3558</v>
      </c>
      <c r="E452" s="5" t="s">
        <v>3522</v>
      </c>
      <c r="F452" s="5">
        <v>38</v>
      </c>
      <c r="G452" s="5">
        <v>228</v>
      </c>
    </row>
    <row r="453" spans="1:7" ht="16.5">
      <c r="A453" s="5" t="s">
        <v>3559</v>
      </c>
      <c r="B453" s="10" t="s">
        <v>3560</v>
      </c>
      <c r="C453" s="5" t="s">
        <v>450</v>
      </c>
      <c r="D453" s="5" t="s">
        <v>3561</v>
      </c>
      <c r="E453" s="5" t="s">
        <v>3522</v>
      </c>
      <c r="F453" s="5">
        <v>19.8</v>
      </c>
      <c r="G453" s="5">
        <v>119</v>
      </c>
    </row>
    <row r="454" spans="1:7" ht="16.5">
      <c r="A454" s="5" t="s">
        <v>3562</v>
      </c>
      <c r="B454" s="10" t="s">
        <v>3563</v>
      </c>
      <c r="C454" s="5" t="s">
        <v>451</v>
      </c>
      <c r="D454" s="5" t="s">
        <v>3564</v>
      </c>
      <c r="E454" s="5" t="s">
        <v>3522</v>
      </c>
      <c r="F454" s="5">
        <v>36</v>
      </c>
      <c r="G454" s="5">
        <v>216</v>
      </c>
    </row>
    <row r="455" spans="1:7" ht="16.5">
      <c r="A455" s="5" t="s">
        <v>3565</v>
      </c>
      <c r="B455" s="10" t="s">
        <v>3566</v>
      </c>
      <c r="C455" s="5" t="s">
        <v>452</v>
      </c>
      <c r="D455" s="5" t="s">
        <v>3567</v>
      </c>
      <c r="E455" s="5" t="s">
        <v>3522</v>
      </c>
      <c r="F455" s="5">
        <v>32</v>
      </c>
      <c r="G455" s="5">
        <v>192</v>
      </c>
    </row>
    <row r="456" spans="1:7" ht="16.5">
      <c r="A456" s="5" t="s">
        <v>3568</v>
      </c>
      <c r="B456" s="10" t="s">
        <v>3569</v>
      </c>
      <c r="C456" s="5" t="s">
        <v>453</v>
      </c>
      <c r="D456" s="5" t="s">
        <v>3570</v>
      </c>
      <c r="E456" s="5" t="s">
        <v>3522</v>
      </c>
      <c r="F456" s="5">
        <v>22</v>
      </c>
      <c r="G456" s="5">
        <v>132</v>
      </c>
    </row>
    <row r="457" spans="1:7" ht="16.5">
      <c r="A457" s="5" t="s">
        <v>3571</v>
      </c>
      <c r="B457" s="10" t="s">
        <v>3572</v>
      </c>
      <c r="C457" s="5" t="s">
        <v>454</v>
      </c>
      <c r="D457" s="5" t="s">
        <v>3573</v>
      </c>
      <c r="E457" s="5" t="s">
        <v>3522</v>
      </c>
      <c r="F457" s="5">
        <v>22</v>
      </c>
      <c r="G457" s="5">
        <v>132</v>
      </c>
    </row>
    <row r="458" spans="1:7" ht="16.5">
      <c r="A458" s="5" t="s">
        <v>3574</v>
      </c>
      <c r="B458" s="10" t="s">
        <v>3575</v>
      </c>
      <c r="C458" s="5" t="s">
        <v>455</v>
      </c>
      <c r="D458" s="5" t="s">
        <v>3576</v>
      </c>
      <c r="E458" s="5" t="s">
        <v>3522</v>
      </c>
      <c r="F458" s="5">
        <v>20</v>
      </c>
      <c r="G458" s="5">
        <v>120</v>
      </c>
    </row>
    <row r="459" spans="1:7" ht="16.5">
      <c r="A459" s="5" t="s">
        <v>3577</v>
      </c>
      <c r="B459" s="10" t="s">
        <v>3578</v>
      </c>
      <c r="C459" s="5" t="s">
        <v>456</v>
      </c>
      <c r="D459" s="5" t="s">
        <v>3579</v>
      </c>
      <c r="E459" s="5" t="s">
        <v>3522</v>
      </c>
      <c r="F459" s="5">
        <v>21</v>
      </c>
      <c r="G459" s="5">
        <v>126</v>
      </c>
    </row>
    <row r="460" spans="1:7" ht="16.5">
      <c r="A460" s="5" t="s">
        <v>3580</v>
      </c>
      <c r="B460" s="10" t="s">
        <v>3581</v>
      </c>
      <c r="C460" s="5" t="s">
        <v>457</v>
      </c>
      <c r="D460" s="5" t="s">
        <v>3582</v>
      </c>
      <c r="E460" s="5" t="s">
        <v>3522</v>
      </c>
      <c r="F460" s="5">
        <v>99</v>
      </c>
      <c r="G460" s="5">
        <v>594</v>
      </c>
    </row>
    <row r="461" spans="1:7" ht="16.5">
      <c r="A461" s="5" t="s">
        <v>3583</v>
      </c>
      <c r="B461" s="10" t="s">
        <v>3584</v>
      </c>
      <c r="C461" s="5" t="s">
        <v>458</v>
      </c>
      <c r="D461" s="5" t="s">
        <v>3585</v>
      </c>
      <c r="E461" s="5" t="s">
        <v>3522</v>
      </c>
      <c r="F461" s="5">
        <v>32</v>
      </c>
      <c r="G461" s="5">
        <v>192</v>
      </c>
    </row>
    <row r="462" spans="1:7" ht="16.5">
      <c r="A462" s="5" t="s">
        <v>3586</v>
      </c>
      <c r="B462" s="10" t="s">
        <v>3587</v>
      </c>
      <c r="C462" s="5" t="s">
        <v>459</v>
      </c>
      <c r="D462" s="5" t="s">
        <v>3588</v>
      </c>
      <c r="E462" s="5" t="s">
        <v>3522</v>
      </c>
      <c r="F462" s="5">
        <v>20</v>
      </c>
      <c r="G462" s="5">
        <v>120</v>
      </c>
    </row>
    <row r="463" spans="1:7" ht="16.5">
      <c r="A463" s="5" t="s">
        <v>3589</v>
      </c>
      <c r="B463" s="10" t="s">
        <v>3590</v>
      </c>
      <c r="C463" s="5" t="s">
        <v>460</v>
      </c>
      <c r="D463" s="5" t="s">
        <v>3591</v>
      </c>
      <c r="E463" s="5" t="s">
        <v>3522</v>
      </c>
      <c r="F463" s="5">
        <v>20</v>
      </c>
      <c r="G463" s="5">
        <v>120</v>
      </c>
    </row>
    <row r="464" spans="1:7" ht="16.5">
      <c r="A464" s="5" t="s">
        <v>3592</v>
      </c>
      <c r="B464" s="10" t="s">
        <v>3593</v>
      </c>
      <c r="C464" s="5" t="s">
        <v>461</v>
      </c>
      <c r="D464" s="5" t="s">
        <v>3594</v>
      </c>
      <c r="E464" s="5" t="s">
        <v>3522</v>
      </c>
      <c r="F464" s="5">
        <v>22</v>
      </c>
      <c r="G464" s="5">
        <v>132</v>
      </c>
    </row>
    <row r="465" spans="1:7" ht="16.5">
      <c r="A465" s="5" t="s">
        <v>3595</v>
      </c>
      <c r="B465" s="10" t="s">
        <v>3596</v>
      </c>
      <c r="C465" s="5" t="s">
        <v>462</v>
      </c>
      <c r="D465" s="5" t="s">
        <v>3597</v>
      </c>
      <c r="E465" s="5" t="s">
        <v>3522</v>
      </c>
      <c r="F465" s="5">
        <v>20</v>
      </c>
      <c r="G465" s="5">
        <v>120</v>
      </c>
    </row>
    <row r="466" spans="1:7" ht="16.5">
      <c r="A466" s="5" t="s">
        <v>3598</v>
      </c>
      <c r="B466" s="10" t="s">
        <v>3599</v>
      </c>
      <c r="C466" s="5" t="s">
        <v>463</v>
      </c>
      <c r="D466" s="5" t="s">
        <v>3600</v>
      </c>
      <c r="E466" s="5" t="s">
        <v>3522</v>
      </c>
      <c r="F466" s="5">
        <v>22</v>
      </c>
      <c r="G466" s="5">
        <v>132</v>
      </c>
    </row>
    <row r="467" spans="1:7" ht="16.5">
      <c r="A467" s="5" t="s">
        <v>3601</v>
      </c>
      <c r="B467" s="10" t="s">
        <v>3602</v>
      </c>
      <c r="C467" s="5" t="s">
        <v>464</v>
      </c>
      <c r="D467" s="5" t="s">
        <v>3603</v>
      </c>
      <c r="E467" s="5" t="s">
        <v>3522</v>
      </c>
      <c r="F467" s="5">
        <v>20</v>
      </c>
      <c r="G467" s="5">
        <v>120</v>
      </c>
    </row>
    <row r="468" spans="1:7" ht="16.5">
      <c r="A468" s="5" t="s">
        <v>3604</v>
      </c>
      <c r="B468" s="10" t="s">
        <v>3605</v>
      </c>
      <c r="C468" s="5" t="s">
        <v>465</v>
      </c>
      <c r="D468" s="5" t="s">
        <v>3606</v>
      </c>
      <c r="E468" s="5" t="s">
        <v>3522</v>
      </c>
      <c r="F468" s="5">
        <v>22</v>
      </c>
      <c r="G468" s="5">
        <v>132</v>
      </c>
    </row>
    <row r="469" spans="1:7" ht="16.5">
      <c r="A469" s="5" t="s">
        <v>3607</v>
      </c>
      <c r="B469" s="10" t="s">
        <v>3608</v>
      </c>
      <c r="C469" s="5" t="s">
        <v>466</v>
      </c>
      <c r="D469" s="5" t="s">
        <v>3609</v>
      </c>
      <c r="E469" s="5" t="s">
        <v>3522</v>
      </c>
      <c r="F469" s="5">
        <v>20</v>
      </c>
      <c r="G469" s="5">
        <v>120</v>
      </c>
    </row>
    <row r="470" spans="1:7" ht="16.5">
      <c r="A470" s="5" t="s">
        <v>3610</v>
      </c>
      <c r="B470" s="10" t="s">
        <v>3611</v>
      </c>
      <c r="C470" s="5" t="s">
        <v>467</v>
      </c>
      <c r="D470" s="5" t="s">
        <v>3612</v>
      </c>
      <c r="E470" s="5" t="s">
        <v>3522</v>
      </c>
      <c r="F470" s="5">
        <v>22</v>
      </c>
      <c r="G470" s="5">
        <v>132</v>
      </c>
    </row>
    <row r="471" spans="1:7" ht="16.5">
      <c r="A471" s="5" t="s">
        <v>3613</v>
      </c>
      <c r="B471" s="10" t="s">
        <v>3614</v>
      </c>
      <c r="C471" s="5" t="s">
        <v>468</v>
      </c>
      <c r="D471" s="5" t="s">
        <v>3615</v>
      </c>
      <c r="E471" s="5" t="s">
        <v>3522</v>
      </c>
      <c r="F471" s="5">
        <v>20</v>
      </c>
      <c r="G471" s="5">
        <v>120</v>
      </c>
    </row>
    <row r="472" spans="1:7" ht="16.5">
      <c r="A472" s="5" t="s">
        <v>3616</v>
      </c>
      <c r="B472" s="10" t="s">
        <v>3617</v>
      </c>
      <c r="C472" s="5" t="s">
        <v>469</v>
      </c>
      <c r="D472" s="5" t="s">
        <v>3618</v>
      </c>
      <c r="E472" s="5" t="s">
        <v>3522</v>
      </c>
      <c r="F472" s="5">
        <v>22</v>
      </c>
      <c r="G472" s="5">
        <v>132</v>
      </c>
    </row>
    <row r="473" spans="1:7" ht="16.5">
      <c r="A473" s="5" t="s">
        <v>3619</v>
      </c>
      <c r="B473" s="10" t="s">
        <v>3620</v>
      </c>
      <c r="C473" s="5" t="s">
        <v>470</v>
      </c>
      <c r="D473" s="5" t="s">
        <v>3621</v>
      </c>
      <c r="E473" s="5" t="s">
        <v>3522</v>
      </c>
      <c r="F473" s="5">
        <v>20</v>
      </c>
      <c r="G473" s="5">
        <v>120</v>
      </c>
    </row>
    <row r="474" spans="1:7" ht="16.5">
      <c r="A474" s="5" t="s">
        <v>3622</v>
      </c>
      <c r="B474" s="10" t="s">
        <v>3623</v>
      </c>
      <c r="C474" s="5" t="s">
        <v>471</v>
      </c>
      <c r="D474" s="5" t="s">
        <v>3624</v>
      </c>
      <c r="E474" s="5" t="s">
        <v>3522</v>
      </c>
      <c r="F474" s="5">
        <v>20</v>
      </c>
      <c r="G474" s="5">
        <v>120</v>
      </c>
    </row>
    <row r="475" spans="1:7" ht="16.5">
      <c r="A475" s="5" t="s">
        <v>3625</v>
      </c>
      <c r="B475" s="10" t="s">
        <v>3626</v>
      </c>
      <c r="C475" s="5" t="s">
        <v>472</v>
      </c>
      <c r="D475" s="5" t="s">
        <v>3627</v>
      </c>
      <c r="E475" s="5" t="s">
        <v>3522</v>
      </c>
      <c r="F475" s="5">
        <v>20</v>
      </c>
      <c r="G475" s="5">
        <v>120</v>
      </c>
    </row>
    <row r="476" spans="1:7" ht="16.5">
      <c r="A476" s="5" t="s">
        <v>3628</v>
      </c>
      <c r="B476" s="10" t="s">
        <v>3629</v>
      </c>
      <c r="C476" s="5" t="s">
        <v>473</v>
      </c>
      <c r="D476" s="5" t="s">
        <v>2417</v>
      </c>
      <c r="E476" s="5" t="s">
        <v>3522</v>
      </c>
      <c r="F476" s="5">
        <v>52</v>
      </c>
      <c r="G476" s="5">
        <v>312</v>
      </c>
    </row>
    <row r="477" spans="1:7" ht="16.5">
      <c r="A477" s="5" t="s">
        <v>3630</v>
      </c>
      <c r="B477" s="10" t="s">
        <v>3631</v>
      </c>
      <c r="C477" s="5" t="s">
        <v>474</v>
      </c>
      <c r="D477" s="5" t="s">
        <v>3632</v>
      </c>
      <c r="E477" s="5" t="s">
        <v>3522</v>
      </c>
      <c r="F477" s="5">
        <v>55</v>
      </c>
      <c r="G477" s="5">
        <v>330</v>
      </c>
    </row>
    <row r="478" spans="1:7" ht="16.5">
      <c r="A478" s="5" t="s">
        <v>3633</v>
      </c>
      <c r="B478" s="10" t="s">
        <v>3634</v>
      </c>
      <c r="C478" s="5" t="s">
        <v>475</v>
      </c>
      <c r="D478" s="5" t="s">
        <v>3635</v>
      </c>
      <c r="E478" s="5" t="s">
        <v>3522</v>
      </c>
      <c r="F478" s="5">
        <v>38</v>
      </c>
      <c r="G478" s="5">
        <v>228</v>
      </c>
    </row>
    <row r="479" spans="1:7" ht="16.5">
      <c r="A479" s="5" t="s">
        <v>3636</v>
      </c>
      <c r="B479" s="10" t="s">
        <v>3637</v>
      </c>
      <c r="C479" s="5" t="s">
        <v>476</v>
      </c>
      <c r="D479" s="5" t="s">
        <v>3638</v>
      </c>
      <c r="E479" s="5" t="s">
        <v>3522</v>
      </c>
      <c r="F479" s="5">
        <v>38</v>
      </c>
      <c r="G479" s="5">
        <v>228</v>
      </c>
    </row>
    <row r="480" spans="1:7" ht="16.5">
      <c r="A480" s="5" t="s">
        <v>3639</v>
      </c>
      <c r="B480" s="10" t="s">
        <v>3640</v>
      </c>
      <c r="C480" s="5" t="s">
        <v>477</v>
      </c>
      <c r="D480" s="5" t="s">
        <v>3641</v>
      </c>
      <c r="E480" s="5" t="s">
        <v>3522</v>
      </c>
      <c r="F480" s="5">
        <v>50</v>
      </c>
      <c r="G480" s="5">
        <v>300</v>
      </c>
    </row>
    <row r="481" spans="1:7" ht="16.5">
      <c r="A481" s="5" t="s">
        <v>3642</v>
      </c>
      <c r="B481" s="10" t="s">
        <v>3643</v>
      </c>
      <c r="C481" s="5" t="s">
        <v>478</v>
      </c>
      <c r="D481" s="5" t="s">
        <v>3644</v>
      </c>
      <c r="E481" s="5" t="s">
        <v>3522</v>
      </c>
      <c r="F481" s="5">
        <v>50</v>
      </c>
      <c r="G481" s="5">
        <v>300</v>
      </c>
    </row>
    <row r="482" spans="1:7" ht="16.5">
      <c r="A482" s="5" t="s">
        <v>3645</v>
      </c>
      <c r="B482" s="10" t="s">
        <v>3646</v>
      </c>
      <c r="C482" s="5" t="s">
        <v>479</v>
      </c>
      <c r="D482" s="5" t="s">
        <v>3647</v>
      </c>
      <c r="E482" s="5" t="s">
        <v>3522</v>
      </c>
      <c r="F482" s="5">
        <v>76</v>
      </c>
      <c r="G482" s="5">
        <v>456</v>
      </c>
    </row>
    <row r="483" spans="1:7" ht="16.5">
      <c r="A483" s="5" t="s">
        <v>3648</v>
      </c>
      <c r="B483" s="10" t="s">
        <v>3649</v>
      </c>
      <c r="C483" s="5" t="s">
        <v>480</v>
      </c>
      <c r="D483" s="5" t="s">
        <v>3650</v>
      </c>
      <c r="E483" s="5" t="s">
        <v>3522</v>
      </c>
      <c r="F483" s="5">
        <v>29</v>
      </c>
      <c r="G483" s="5">
        <v>174</v>
      </c>
    </row>
    <row r="484" spans="1:7" ht="16.5">
      <c r="A484" s="5" t="s">
        <v>3651</v>
      </c>
      <c r="B484" s="10" t="s">
        <v>3652</v>
      </c>
      <c r="C484" s="5" t="s">
        <v>481</v>
      </c>
      <c r="D484" s="5" t="s">
        <v>3653</v>
      </c>
      <c r="E484" s="5" t="s">
        <v>3522</v>
      </c>
      <c r="F484" s="5">
        <v>28</v>
      </c>
      <c r="G484" s="5">
        <v>168</v>
      </c>
    </row>
    <row r="485" spans="1:7" ht="16.5">
      <c r="A485" s="5" t="s">
        <v>3654</v>
      </c>
      <c r="B485" s="10" t="s">
        <v>3655</v>
      </c>
      <c r="C485" s="5" t="s">
        <v>482</v>
      </c>
      <c r="D485" s="5" t="s">
        <v>3656</v>
      </c>
      <c r="E485" s="5" t="s">
        <v>3522</v>
      </c>
      <c r="F485" s="5">
        <v>138</v>
      </c>
      <c r="G485" s="5">
        <v>828</v>
      </c>
    </row>
    <row r="486" spans="1:7" ht="16.5">
      <c r="A486" s="5" t="s">
        <v>3657</v>
      </c>
      <c r="B486" s="10" t="s">
        <v>3658</v>
      </c>
      <c r="C486" s="5" t="s">
        <v>483</v>
      </c>
      <c r="D486" s="5" t="s">
        <v>3659</v>
      </c>
      <c r="E486" s="5" t="s">
        <v>3522</v>
      </c>
      <c r="F486" s="5">
        <v>26</v>
      </c>
      <c r="G486" s="5">
        <v>156</v>
      </c>
    </row>
    <row r="487" spans="1:7" ht="16.5">
      <c r="A487" s="5" t="s">
        <v>3660</v>
      </c>
      <c r="B487" s="10" t="s">
        <v>3661</v>
      </c>
      <c r="C487" s="5" t="s">
        <v>484</v>
      </c>
      <c r="D487" s="5" t="s">
        <v>3662</v>
      </c>
      <c r="E487" s="5" t="s">
        <v>3522</v>
      </c>
      <c r="F487" s="5">
        <v>45</v>
      </c>
      <c r="G487" s="5">
        <v>270</v>
      </c>
    </row>
    <row r="488" spans="1:7" ht="16.5">
      <c r="A488" s="5" t="s">
        <v>3663</v>
      </c>
      <c r="B488" s="10" t="s">
        <v>3664</v>
      </c>
      <c r="C488" s="5" t="s">
        <v>485</v>
      </c>
      <c r="D488" s="5" t="s">
        <v>3665</v>
      </c>
      <c r="E488" s="5" t="s">
        <v>3522</v>
      </c>
      <c r="F488" s="5">
        <v>29</v>
      </c>
      <c r="G488" s="5">
        <v>174</v>
      </c>
    </row>
    <row r="489" spans="1:7" ht="16.5">
      <c r="A489" s="5" t="s">
        <v>3666</v>
      </c>
      <c r="B489" s="10" t="s">
        <v>3667</v>
      </c>
      <c r="C489" s="5" t="s">
        <v>478</v>
      </c>
      <c r="D489" s="5" t="s">
        <v>3644</v>
      </c>
      <c r="E489" s="5" t="s">
        <v>3522</v>
      </c>
      <c r="F489" s="5">
        <v>28</v>
      </c>
      <c r="G489" s="5">
        <v>168</v>
      </c>
    </row>
    <row r="490" spans="1:7" ht="16.5">
      <c r="A490" s="5" t="s">
        <v>3668</v>
      </c>
      <c r="B490" s="10" t="s">
        <v>3669</v>
      </c>
      <c r="C490" s="5" t="s">
        <v>486</v>
      </c>
      <c r="D490" s="5" t="s">
        <v>2476</v>
      </c>
      <c r="E490" s="5" t="s">
        <v>3522</v>
      </c>
      <c r="F490" s="5">
        <v>25</v>
      </c>
      <c r="G490" s="5">
        <v>150</v>
      </c>
    </row>
    <row r="491" spans="1:7" ht="16.5">
      <c r="A491" s="5" t="s">
        <v>3670</v>
      </c>
      <c r="B491" s="10" t="s">
        <v>3671</v>
      </c>
      <c r="C491" s="5" t="s">
        <v>487</v>
      </c>
      <c r="D491" s="5" t="s">
        <v>3672</v>
      </c>
      <c r="E491" s="5" t="s">
        <v>3522</v>
      </c>
      <c r="F491" s="5">
        <v>31</v>
      </c>
      <c r="G491" s="5">
        <v>186</v>
      </c>
    </row>
    <row r="492" spans="1:7" ht="16.5">
      <c r="A492" s="5" t="s">
        <v>3673</v>
      </c>
      <c r="B492" s="10" t="s">
        <v>3674</v>
      </c>
      <c r="C492" s="5" t="s">
        <v>488</v>
      </c>
      <c r="D492" s="5" t="s">
        <v>3675</v>
      </c>
      <c r="E492" s="5" t="s">
        <v>3522</v>
      </c>
      <c r="F492" s="5">
        <v>25</v>
      </c>
      <c r="G492" s="5">
        <v>150</v>
      </c>
    </row>
    <row r="493" spans="1:7" ht="16.5">
      <c r="A493" s="5" t="s">
        <v>3676</v>
      </c>
      <c r="B493" s="10" t="s">
        <v>3677</v>
      </c>
      <c r="C493" s="5" t="s">
        <v>489</v>
      </c>
      <c r="D493" s="5" t="s">
        <v>2899</v>
      </c>
      <c r="E493" s="5" t="s">
        <v>3522</v>
      </c>
      <c r="F493" s="5">
        <v>86</v>
      </c>
      <c r="G493" s="5">
        <v>516</v>
      </c>
    </row>
    <row r="494" spans="1:7" ht="16.5">
      <c r="A494" s="5" t="s">
        <v>3678</v>
      </c>
      <c r="B494" s="10" t="s">
        <v>3679</v>
      </c>
      <c r="C494" s="5" t="s">
        <v>490</v>
      </c>
      <c r="D494" s="5" t="s">
        <v>3680</v>
      </c>
      <c r="E494" s="5" t="s">
        <v>3522</v>
      </c>
      <c r="F494" s="5">
        <v>20</v>
      </c>
      <c r="G494" s="5">
        <v>120</v>
      </c>
    </row>
    <row r="495" spans="1:7" ht="16.5">
      <c r="A495" s="5" t="s">
        <v>3681</v>
      </c>
      <c r="B495" s="10" t="s">
        <v>3682</v>
      </c>
      <c r="C495" s="5" t="s">
        <v>491</v>
      </c>
      <c r="D495" s="5" t="s">
        <v>3680</v>
      </c>
      <c r="E495" s="5" t="s">
        <v>3522</v>
      </c>
      <c r="F495" s="5">
        <v>20</v>
      </c>
      <c r="G495" s="5">
        <v>120</v>
      </c>
    </row>
    <row r="496" spans="1:7" ht="16.5">
      <c r="A496" s="5" t="s">
        <v>3683</v>
      </c>
      <c r="B496" s="10" t="s">
        <v>3684</v>
      </c>
      <c r="C496" s="5" t="s">
        <v>3685</v>
      </c>
      <c r="D496" s="5" t="s">
        <v>3686</v>
      </c>
      <c r="E496" s="5" t="s">
        <v>3522</v>
      </c>
      <c r="F496" s="5">
        <v>35</v>
      </c>
      <c r="G496" s="5">
        <v>210</v>
      </c>
    </row>
    <row r="497" spans="1:7" ht="16.5">
      <c r="A497" s="5" t="s">
        <v>3687</v>
      </c>
      <c r="B497" s="10" t="s">
        <v>3688</v>
      </c>
      <c r="C497" s="5" t="s">
        <v>492</v>
      </c>
      <c r="D497" s="5" t="s">
        <v>3689</v>
      </c>
      <c r="E497" s="5" t="s">
        <v>3522</v>
      </c>
      <c r="F497" s="5">
        <v>36</v>
      </c>
      <c r="G497" s="5">
        <v>216</v>
      </c>
    </row>
    <row r="498" spans="1:7" ht="16.5">
      <c r="A498" s="5" t="s">
        <v>3690</v>
      </c>
      <c r="B498" s="10" t="s">
        <v>3691</v>
      </c>
      <c r="C498" s="5" t="s">
        <v>493</v>
      </c>
      <c r="D498" s="5" t="s">
        <v>3692</v>
      </c>
      <c r="E498" s="5" t="s">
        <v>3522</v>
      </c>
      <c r="F498" s="5">
        <v>34</v>
      </c>
      <c r="G498" s="5">
        <v>204</v>
      </c>
    </row>
    <row r="499" spans="1:7" ht="16.5">
      <c r="A499" s="5" t="s">
        <v>3693</v>
      </c>
      <c r="B499" s="10" t="s">
        <v>3694</v>
      </c>
      <c r="C499" s="5" t="s">
        <v>494</v>
      </c>
      <c r="D499" s="5" t="s">
        <v>3695</v>
      </c>
      <c r="E499" s="5" t="s">
        <v>3522</v>
      </c>
      <c r="F499" s="5">
        <v>30</v>
      </c>
      <c r="G499" s="5">
        <v>180</v>
      </c>
    </row>
    <row r="500" spans="1:7" ht="16.5">
      <c r="A500" s="5" t="s">
        <v>3696</v>
      </c>
      <c r="B500" s="10" t="s">
        <v>3697</v>
      </c>
      <c r="C500" s="5" t="s">
        <v>495</v>
      </c>
      <c r="D500" s="5" t="s">
        <v>3567</v>
      </c>
      <c r="E500" s="5" t="s">
        <v>3522</v>
      </c>
      <c r="F500" s="5">
        <v>42</v>
      </c>
      <c r="G500" s="5">
        <v>252</v>
      </c>
    </row>
    <row r="501" spans="1:7" ht="16.5">
      <c r="A501" s="5" t="s">
        <v>3698</v>
      </c>
      <c r="B501" s="10" t="s">
        <v>3699</v>
      </c>
      <c r="C501" s="5" t="s">
        <v>496</v>
      </c>
      <c r="D501" s="5" t="s">
        <v>3700</v>
      </c>
      <c r="E501" s="5" t="s">
        <v>3522</v>
      </c>
      <c r="F501" s="5">
        <v>36</v>
      </c>
      <c r="G501" s="5">
        <v>216</v>
      </c>
    </row>
    <row r="502" spans="1:7" ht="16.5">
      <c r="A502" s="5" t="s">
        <v>3701</v>
      </c>
      <c r="B502" s="10" t="s">
        <v>3702</v>
      </c>
      <c r="C502" s="5" t="s">
        <v>497</v>
      </c>
      <c r="D502" s="5" t="s">
        <v>3703</v>
      </c>
      <c r="E502" s="5" t="s">
        <v>3522</v>
      </c>
      <c r="F502" s="5">
        <v>45</v>
      </c>
      <c r="G502" s="5">
        <v>270</v>
      </c>
    </row>
    <row r="503" spans="1:7" ht="16.5">
      <c r="A503" s="5" t="s">
        <v>3704</v>
      </c>
      <c r="B503" s="10" t="s">
        <v>3705</v>
      </c>
      <c r="C503" s="5" t="s">
        <v>498</v>
      </c>
      <c r="D503" s="5" t="s">
        <v>3706</v>
      </c>
      <c r="E503" s="5" t="s">
        <v>3522</v>
      </c>
      <c r="F503" s="5">
        <v>28</v>
      </c>
      <c r="G503" s="5">
        <v>168</v>
      </c>
    </row>
    <row r="504" spans="1:7" ht="16.5">
      <c r="A504" s="5" t="s">
        <v>3707</v>
      </c>
      <c r="B504" s="10" t="s">
        <v>3708</v>
      </c>
      <c r="C504" s="5" t="s">
        <v>499</v>
      </c>
      <c r="D504" s="5" t="s">
        <v>3709</v>
      </c>
      <c r="E504" s="5" t="s">
        <v>3522</v>
      </c>
      <c r="F504" s="5">
        <v>30</v>
      </c>
      <c r="G504" s="5">
        <v>180</v>
      </c>
    </row>
    <row r="505" spans="1:7" ht="16.5">
      <c r="A505" s="5" t="s">
        <v>3710</v>
      </c>
      <c r="B505" s="10" t="s">
        <v>3711</v>
      </c>
      <c r="C505" s="5" t="s">
        <v>500</v>
      </c>
      <c r="D505" s="5" t="s">
        <v>3700</v>
      </c>
      <c r="E505" s="5" t="s">
        <v>3522</v>
      </c>
      <c r="F505" s="5">
        <v>60</v>
      </c>
      <c r="G505" s="5">
        <v>360</v>
      </c>
    </row>
    <row r="506" spans="1:7" ht="16.5">
      <c r="A506" s="5" t="s">
        <v>3712</v>
      </c>
      <c r="B506" s="10" t="s">
        <v>3713</v>
      </c>
      <c r="C506" s="5" t="s">
        <v>501</v>
      </c>
      <c r="D506" s="5" t="s">
        <v>3700</v>
      </c>
      <c r="E506" s="5" t="s">
        <v>3522</v>
      </c>
      <c r="F506" s="5">
        <v>25</v>
      </c>
      <c r="G506" s="5">
        <v>150</v>
      </c>
    </row>
    <row r="507" spans="1:7" ht="16.5">
      <c r="A507" s="5" t="s">
        <v>3714</v>
      </c>
      <c r="B507" s="10" t="s">
        <v>3715</v>
      </c>
      <c r="C507" s="5" t="s">
        <v>502</v>
      </c>
      <c r="D507" s="5" t="s">
        <v>3716</v>
      </c>
      <c r="E507" s="5" t="s">
        <v>3522</v>
      </c>
      <c r="F507" s="5">
        <v>32</v>
      </c>
      <c r="G507" s="5">
        <v>192</v>
      </c>
    </row>
    <row r="508" spans="1:7" ht="16.5">
      <c r="A508" s="5" t="s">
        <v>3717</v>
      </c>
      <c r="B508" s="10" t="s">
        <v>3718</v>
      </c>
      <c r="C508" s="5" t="s">
        <v>503</v>
      </c>
      <c r="D508" s="5" t="s">
        <v>3719</v>
      </c>
      <c r="E508" s="5" t="s">
        <v>3522</v>
      </c>
      <c r="F508" s="5">
        <v>27</v>
      </c>
      <c r="G508" s="5">
        <v>162</v>
      </c>
    </row>
    <row r="509" spans="1:7" ht="16.5">
      <c r="A509" s="5" t="s">
        <v>3720</v>
      </c>
      <c r="B509" s="10" t="s">
        <v>3721</v>
      </c>
      <c r="C509" s="5" t="s">
        <v>504</v>
      </c>
      <c r="D509" s="5" t="s">
        <v>3722</v>
      </c>
      <c r="E509" s="5" t="s">
        <v>3522</v>
      </c>
      <c r="F509" s="5">
        <v>48</v>
      </c>
      <c r="G509" s="5">
        <v>288</v>
      </c>
    </row>
    <row r="510" spans="1:7" ht="16.5">
      <c r="A510" s="5" t="s">
        <v>3723</v>
      </c>
      <c r="B510" s="10" t="s">
        <v>3724</v>
      </c>
      <c r="C510" s="5" t="s">
        <v>505</v>
      </c>
      <c r="D510" s="5" t="s">
        <v>3725</v>
      </c>
      <c r="E510" s="5" t="s">
        <v>3522</v>
      </c>
      <c r="F510" s="5">
        <v>24</v>
      </c>
      <c r="G510" s="5">
        <v>144</v>
      </c>
    </row>
    <row r="511" spans="1:7" ht="16.5">
      <c r="A511" s="5" t="s">
        <v>3726</v>
      </c>
      <c r="B511" s="10" t="s">
        <v>3727</v>
      </c>
      <c r="C511" s="5" t="s">
        <v>506</v>
      </c>
      <c r="D511" s="5" t="s">
        <v>3728</v>
      </c>
      <c r="E511" s="5" t="s">
        <v>3522</v>
      </c>
      <c r="F511" s="5">
        <v>25</v>
      </c>
      <c r="G511" s="5">
        <v>150</v>
      </c>
    </row>
    <row r="512" spans="1:7" ht="16.5">
      <c r="A512" s="5" t="s">
        <v>3729</v>
      </c>
      <c r="B512" s="10" t="s">
        <v>3730</v>
      </c>
      <c r="C512" s="5" t="s">
        <v>507</v>
      </c>
      <c r="D512" s="5" t="s">
        <v>3731</v>
      </c>
      <c r="E512" s="5" t="s">
        <v>3522</v>
      </c>
      <c r="F512" s="5">
        <v>25</v>
      </c>
      <c r="G512" s="5">
        <v>150</v>
      </c>
    </row>
    <row r="513" spans="1:7" ht="16.5">
      <c r="A513" s="5" t="s">
        <v>3732</v>
      </c>
      <c r="B513" s="10" t="s">
        <v>3733</v>
      </c>
      <c r="C513" s="5" t="s">
        <v>508</v>
      </c>
      <c r="D513" s="5" t="s">
        <v>2899</v>
      </c>
      <c r="E513" s="5" t="s">
        <v>3522</v>
      </c>
      <c r="F513" s="5">
        <v>60</v>
      </c>
      <c r="G513" s="5">
        <v>360</v>
      </c>
    </row>
    <row r="514" spans="1:7" ht="16.5">
      <c r="A514" s="5" t="s">
        <v>3734</v>
      </c>
      <c r="B514" s="10" t="s">
        <v>3735</v>
      </c>
      <c r="C514" s="5" t="s">
        <v>509</v>
      </c>
      <c r="D514" s="5" t="s">
        <v>3736</v>
      </c>
      <c r="E514" s="5" t="s">
        <v>3522</v>
      </c>
      <c r="F514" s="5">
        <v>45</v>
      </c>
      <c r="G514" s="5">
        <v>270</v>
      </c>
    </row>
    <row r="515" spans="1:7" ht="16.5">
      <c r="A515" s="5" t="s">
        <v>3737</v>
      </c>
      <c r="B515" s="10" t="s">
        <v>3738</v>
      </c>
      <c r="C515" s="5" t="s">
        <v>510</v>
      </c>
      <c r="D515" s="5" t="s">
        <v>3739</v>
      </c>
      <c r="E515" s="5" t="s">
        <v>3522</v>
      </c>
      <c r="F515" s="5">
        <v>26</v>
      </c>
      <c r="G515" s="5">
        <v>156</v>
      </c>
    </row>
    <row r="516" spans="1:7" ht="16.5">
      <c r="A516" s="5" t="s">
        <v>3740</v>
      </c>
      <c r="B516" s="10" t="s">
        <v>3741</v>
      </c>
      <c r="C516" s="5" t="s">
        <v>511</v>
      </c>
      <c r="D516" s="5" t="s">
        <v>3742</v>
      </c>
      <c r="E516" s="5" t="s">
        <v>3522</v>
      </c>
      <c r="F516" s="5">
        <v>50</v>
      </c>
      <c r="G516" s="5">
        <v>300</v>
      </c>
    </row>
    <row r="517" spans="1:7" ht="16.5">
      <c r="A517" s="5" t="s">
        <v>3743</v>
      </c>
      <c r="B517" s="10" t="s">
        <v>3744</v>
      </c>
      <c r="C517" s="5" t="s">
        <v>512</v>
      </c>
      <c r="D517" s="5" t="s">
        <v>3745</v>
      </c>
      <c r="E517" s="5" t="s">
        <v>3522</v>
      </c>
      <c r="F517" s="5">
        <v>24</v>
      </c>
      <c r="G517" s="5">
        <v>144</v>
      </c>
    </row>
    <row r="518" spans="1:7" ht="16.5">
      <c r="A518" s="5" t="s">
        <v>3746</v>
      </c>
      <c r="B518" s="10" t="s">
        <v>3747</v>
      </c>
      <c r="C518" s="5" t="s">
        <v>513</v>
      </c>
      <c r="D518" s="5" t="s">
        <v>3748</v>
      </c>
      <c r="E518" s="5" t="s">
        <v>3522</v>
      </c>
      <c r="F518" s="5">
        <v>60</v>
      </c>
      <c r="G518" s="5">
        <v>360</v>
      </c>
    </row>
    <row r="519" spans="1:7" ht="16.5">
      <c r="A519" s="5" t="s">
        <v>3749</v>
      </c>
      <c r="B519" s="10" t="s">
        <v>3750</v>
      </c>
      <c r="C519" s="5" t="s">
        <v>514</v>
      </c>
      <c r="D519" s="5" t="s">
        <v>3751</v>
      </c>
      <c r="E519" s="5" t="s">
        <v>3522</v>
      </c>
      <c r="F519" s="5">
        <v>65</v>
      </c>
      <c r="G519" s="5">
        <v>390</v>
      </c>
    </row>
    <row r="520" spans="1:7" ht="16.5">
      <c r="A520" s="5" t="s">
        <v>3752</v>
      </c>
      <c r="B520" s="10" t="s">
        <v>3753</v>
      </c>
      <c r="C520" s="5" t="s">
        <v>515</v>
      </c>
      <c r="D520" s="5" t="s">
        <v>3754</v>
      </c>
      <c r="E520" s="5" t="s">
        <v>3522</v>
      </c>
      <c r="F520" s="5">
        <v>40</v>
      </c>
      <c r="G520" s="5">
        <v>240</v>
      </c>
    </row>
    <row r="521" spans="1:7" ht="16.5">
      <c r="A521" s="5" t="s">
        <v>3755</v>
      </c>
      <c r="B521" s="10" t="s">
        <v>3756</v>
      </c>
      <c r="C521" s="5" t="s">
        <v>516</v>
      </c>
      <c r="D521" s="5" t="s">
        <v>3757</v>
      </c>
      <c r="E521" s="5" t="s">
        <v>3522</v>
      </c>
      <c r="F521" s="5">
        <v>38</v>
      </c>
      <c r="G521" s="5">
        <v>228</v>
      </c>
    </row>
    <row r="522" spans="1:7" ht="16.5">
      <c r="A522" s="5" t="s">
        <v>3758</v>
      </c>
      <c r="B522" s="10" t="s">
        <v>3759</v>
      </c>
      <c r="C522" s="5" t="s">
        <v>517</v>
      </c>
      <c r="D522" s="5" t="s">
        <v>3760</v>
      </c>
      <c r="E522" s="5" t="s">
        <v>3522</v>
      </c>
      <c r="F522" s="5">
        <v>32</v>
      </c>
      <c r="G522" s="5">
        <v>192</v>
      </c>
    </row>
    <row r="523" spans="1:7" ht="16.5">
      <c r="A523" s="5" t="s">
        <v>3761</v>
      </c>
      <c r="B523" s="10" t="s">
        <v>3762</v>
      </c>
      <c r="C523" s="5" t="s">
        <v>518</v>
      </c>
      <c r="D523" s="5" t="s">
        <v>3763</v>
      </c>
      <c r="E523" s="5" t="s">
        <v>3522</v>
      </c>
      <c r="F523" s="5">
        <v>41</v>
      </c>
      <c r="G523" s="5">
        <v>246</v>
      </c>
    </row>
    <row r="524" spans="1:7" ht="16.5">
      <c r="A524" s="5" t="s">
        <v>3764</v>
      </c>
      <c r="B524" s="10" t="s">
        <v>3765</v>
      </c>
      <c r="C524" s="5" t="s">
        <v>519</v>
      </c>
      <c r="D524" s="5" t="s">
        <v>3766</v>
      </c>
      <c r="E524" s="5" t="s">
        <v>3522</v>
      </c>
      <c r="F524" s="5">
        <v>29</v>
      </c>
      <c r="G524" s="5">
        <v>174</v>
      </c>
    </row>
    <row r="525" spans="1:7" ht="16.5">
      <c r="A525" s="5" t="s">
        <v>3767</v>
      </c>
      <c r="B525" s="10" t="s">
        <v>3768</v>
      </c>
      <c r="C525" s="5" t="s">
        <v>520</v>
      </c>
      <c r="D525" s="5" t="s">
        <v>3769</v>
      </c>
      <c r="E525" s="5" t="s">
        <v>3522</v>
      </c>
      <c r="F525" s="5">
        <v>48</v>
      </c>
      <c r="G525" s="5">
        <v>288</v>
      </c>
    </row>
    <row r="526" spans="1:7" ht="16.5">
      <c r="A526" s="5" t="s">
        <v>3770</v>
      </c>
      <c r="B526" s="10" t="s">
        <v>3771</v>
      </c>
      <c r="C526" s="5" t="s">
        <v>521</v>
      </c>
      <c r="D526" s="5" t="s">
        <v>3772</v>
      </c>
      <c r="E526" s="5" t="s">
        <v>3522</v>
      </c>
      <c r="F526" s="5">
        <v>33</v>
      </c>
      <c r="G526" s="5">
        <v>198</v>
      </c>
    </row>
    <row r="527" spans="1:7" ht="16.5">
      <c r="A527" s="5" t="s">
        <v>3773</v>
      </c>
      <c r="B527" s="10" t="s">
        <v>3774</v>
      </c>
      <c r="C527" s="5" t="s">
        <v>522</v>
      </c>
      <c r="D527" s="5" t="s">
        <v>3775</v>
      </c>
      <c r="E527" s="5" t="s">
        <v>3522</v>
      </c>
      <c r="F527" s="5">
        <v>25</v>
      </c>
      <c r="G527" s="5">
        <v>150</v>
      </c>
    </row>
    <row r="528" spans="1:7" ht="16.5">
      <c r="A528" s="5" t="s">
        <v>3776</v>
      </c>
      <c r="B528" s="10" t="s">
        <v>3777</v>
      </c>
      <c r="C528" s="5" t="s">
        <v>523</v>
      </c>
      <c r="D528" s="5" t="s">
        <v>3778</v>
      </c>
      <c r="E528" s="5" t="s">
        <v>3522</v>
      </c>
      <c r="F528" s="5">
        <v>38</v>
      </c>
      <c r="G528" s="5">
        <v>228</v>
      </c>
    </row>
    <row r="529" spans="1:7" ht="16.5">
      <c r="A529" s="5" t="s">
        <v>3779</v>
      </c>
      <c r="B529" s="10" t="s">
        <v>3780</v>
      </c>
      <c r="C529" s="5" t="s">
        <v>524</v>
      </c>
      <c r="D529" s="5" t="s">
        <v>3781</v>
      </c>
      <c r="E529" s="5" t="s">
        <v>3522</v>
      </c>
      <c r="F529" s="5">
        <v>40</v>
      </c>
      <c r="G529" s="5">
        <v>240</v>
      </c>
    </row>
    <row r="530" spans="1:7" ht="16.5">
      <c r="A530" s="5" t="s">
        <v>3782</v>
      </c>
      <c r="B530" s="10" t="s">
        <v>3783</v>
      </c>
      <c r="C530" s="5" t="s">
        <v>525</v>
      </c>
      <c r="D530" s="5" t="s">
        <v>3784</v>
      </c>
      <c r="E530" s="5" t="s">
        <v>3522</v>
      </c>
      <c r="F530" s="5">
        <v>28</v>
      </c>
      <c r="G530" s="5">
        <v>168</v>
      </c>
    </row>
    <row r="531" spans="1:7" ht="16.5">
      <c r="A531" s="5" t="s">
        <v>3785</v>
      </c>
      <c r="B531" s="10" t="s">
        <v>3786</v>
      </c>
      <c r="C531" s="5" t="s">
        <v>526</v>
      </c>
      <c r="D531" s="5" t="s">
        <v>3787</v>
      </c>
      <c r="E531" s="5" t="s">
        <v>3522</v>
      </c>
      <c r="F531" s="5">
        <v>28</v>
      </c>
      <c r="G531" s="5">
        <v>168</v>
      </c>
    </row>
    <row r="532" spans="1:7" ht="16.5">
      <c r="A532" s="5" t="s">
        <v>3788</v>
      </c>
      <c r="B532" s="10" t="s">
        <v>3789</v>
      </c>
      <c r="C532" s="5" t="s">
        <v>527</v>
      </c>
      <c r="D532" s="5" t="s">
        <v>2236</v>
      </c>
      <c r="E532" s="5" t="s">
        <v>3522</v>
      </c>
      <c r="F532" s="5">
        <v>24</v>
      </c>
      <c r="G532" s="5">
        <v>144</v>
      </c>
    </row>
    <row r="533" spans="1:7" ht="16.5">
      <c r="A533" s="5" t="s">
        <v>3790</v>
      </c>
      <c r="B533" s="10" t="s">
        <v>3791</v>
      </c>
      <c r="C533" s="5" t="s">
        <v>528</v>
      </c>
      <c r="D533" s="5" t="s">
        <v>3792</v>
      </c>
      <c r="E533" s="5" t="s">
        <v>3522</v>
      </c>
      <c r="F533" s="5">
        <v>42</v>
      </c>
      <c r="G533" s="5">
        <v>252</v>
      </c>
    </row>
    <row r="534" spans="1:7" ht="16.5">
      <c r="A534" s="5" t="s">
        <v>3793</v>
      </c>
      <c r="B534" s="10" t="s">
        <v>3794</v>
      </c>
      <c r="C534" s="5" t="s">
        <v>529</v>
      </c>
      <c r="D534" s="5" t="s">
        <v>2525</v>
      </c>
      <c r="E534" s="5" t="s">
        <v>3795</v>
      </c>
      <c r="F534" s="5">
        <v>27</v>
      </c>
      <c r="G534" s="5">
        <v>162</v>
      </c>
    </row>
    <row r="535" spans="1:7" ht="16.5">
      <c r="A535" s="5" t="s">
        <v>3796</v>
      </c>
      <c r="B535" s="10" t="s">
        <v>3797</v>
      </c>
      <c r="C535" s="5" t="s">
        <v>530</v>
      </c>
      <c r="D535" s="5" t="s">
        <v>3798</v>
      </c>
      <c r="E535" s="5" t="s">
        <v>3799</v>
      </c>
      <c r="F535" s="5">
        <v>14</v>
      </c>
      <c r="G535" s="5">
        <v>84</v>
      </c>
    </row>
    <row r="536" spans="1:7" ht="16.5">
      <c r="A536" s="5" t="s">
        <v>3800</v>
      </c>
      <c r="B536" s="10" t="s">
        <v>3801</v>
      </c>
      <c r="C536" s="5" t="s">
        <v>531</v>
      </c>
      <c r="D536" s="5" t="s">
        <v>3802</v>
      </c>
      <c r="E536" s="5" t="s">
        <v>3799</v>
      </c>
      <c r="F536" s="5">
        <v>64</v>
      </c>
      <c r="G536" s="5">
        <v>384</v>
      </c>
    </row>
    <row r="537" spans="1:7" ht="16.5">
      <c r="A537" s="5" t="s">
        <v>3803</v>
      </c>
      <c r="B537" s="10" t="s">
        <v>3804</v>
      </c>
      <c r="C537" s="5" t="s">
        <v>532</v>
      </c>
      <c r="D537" s="5" t="s">
        <v>3802</v>
      </c>
      <c r="E537" s="5" t="s">
        <v>3799</v>
      </c>
      <c r="F537" s="5">
        <v>55</v>
      </c>
      <c r="G537" s="5">
        <v>330</v>
      </c>
    </row>
    <row r="538" spans="1:7" ht="16.5">
      <c r="A538" s="5" t="s">
        <v>3805</v>
      </c>
      <c r="B538" s="10" t="s">
        <v>3806</v>
      </c>
      <c r="C538" s="5" t="s">
        <v>533</v>
      </c>
      <c r="D538" s="5" t="s">
        <v>3802</v>
      </c>
      <c r="E538" s="5" t="s">
        <v>3799</v>
      </c>
      <c r="F538" s="5">
        <v>68</v>
      </c>
      <c r="G538" s="5">
        <v>408</v>
      </c>
    </row>
    <row r="539" spans="1:7" ht="16.5">
      <c r="A539" s="5" t="s">
        <v>3807</v>
      </c>
      <c r="B539" s="10" t="s">
        <v>3808</v>
      </c>
      <c r="C539" s="5" t="s">
        <v>534</v>
      </c>
      <c r="D539" s="5" t="s">
        <v>3802</v>
      </c>
      <c r="E539" s="5" t="s">
        <v>3799</v>
      </c>
      <c r="F539" s="5">
        <v>68</v>
      </c>
      <c r="G539" s="5">
        <v>408</v>
      </c>
    </row>
    <row r="540" spans="1:7" ht="16.5">
      <c r="A540" s="5" t="s">
        <v>3809</v>
      </c>
      <c r="B540" s="10" t="s">
        <v>3810</v>
      </c>
      <c r="C540" s="5" t="s">
        <v>535</v>
      </c>
      <c r="D540" s="5" t="s">
        <v>3811</v>
      </c>
      <c r="E540" s="5" t="s">
        <v>3799</v>
      </c>
      <c r="F540" s="5">
        <v>25</v>
      </c>
      <c r="G540" s="5">
        <v>150</v>
      </c>
    </row>
    <row r="541" spans="1:7" ht="16.5">
      <c r="A541" s="5" t="s">
        <v>3812</v>
      </c>
      <c r="B541" s="10" t="s">
        <v>3813</v>
      </c>
      <c r="C541" s="5" t="s">
        <v>536</v>
      </c>
      <c r="D541" s="5" t="s">
        <v>3814</v>
      </c>
      <c r="E541" s="5" t="s">
        <v>3799</v>
      </c>
      <c r="F541" s="5">
        <v>40</v>
      </c>
      <c r="G541" s="5">
        <v>240</v>
      </c>
    </row>
    <row r="542" spans="1:7" ht="16.5">
      <c r="A542" s="5" t="s">
        <v>3815</v>
      </c>
      <c r="B542" s="10" t="s">
        <v>3816</v>
      </c>
      <c r="C542" s="5" t="s">
        <v>537</v>
      </c>
      <c r="D542" s="5" t="s">
        <v>3817</v>
      </c>
      <c r="E542" s="5" t="s">
        <v>3818</v>
      </c>
      <c r="F542" s="5">
        <v>9</v>
      </c>
      <c r="G542" s="5">
        <v>54</v>
      </c>
    </row>
    <row r="543" spans="1:7" ht="16.5">
      <c r="A543" s="5" t="s">
        <v>3819</v>
      </c>
      <c r="B543" s="10" t="s">
        <v>3816</v>
      </c>
      <c r="C543" s="5" t="s">
        <v>538</v>
      </c>
      <c r="D543" s="5" t="s">
        <v>3820</v>
      </c>
      <c r="E543" s="5" t="s">
        <v>3818</v>
      </c>
      <c r="F543" s="5">
        <v>9</v>
      </c>
      <c r="G543" s="5">
        <v>54</v>
      </c>
    </row>
    <row r="544" spans="1:7" ht="16.5">
      <c r="A544" s="5" t="s">
        <v>3821</v>
      </c>
      <c r="B544" s="10" t="s">
        <v>3816</v>
      </c>
      <c r="C544" s="5" t="s">
        <v>539</v>
      </c>
      <c r="D544" s="5" t="s">
        <v>3822</v>
      </c>
      <c r="E544" s="5" t="s">
        <v>3818</v>
      </c>
      <c r="F544" s="5">
        <v>9</v>
      </c>
      <c r="G544" s="5">
        <v>54</v>
      </c>
    </row>
    <row r="545" spans="1:7" ht="16.5">
      <c r="A545" s="5" t="s">
        <v>3823</v>
      </c>
      <c r="B545" s="10" t="s">
        <v>3824</v>
      </c>
      <c r="C545" s="5" t="s">
        <v>540</v>
      </c>
      <c r="D545" s="5" t="s">
        <v>3825</v>
      </c>
      <c r="E545" s="5" t="s">
        <v>3818</v>
      </c>
      <c r="F545" s="5">
        <v>28</v>
      </c>
      <c r="G545" s="5">
        <v>168</v>
      </c>
    </row>
    <row r="546" spans="1:7" ht="16.5">
      <c r="A546" s="5" t="s">
        <v>3826</v>
      </c>
      <c r="B546" s="10" t="s">
        <v>3827</v>
      </c>
      <c r="C546" s="5" t="s">
        <v>1122</v>
      </c>
      <c r="D546" s="5" t="s">
        <v>3828</v>
      </c>
      <c r="E546" s="5" t="s">
        <v>3818</v>
      </c>
      <c r="F546" s="5">
        <v>15</v>
      </c>
      <c r="G546" s="5">
        <v>90</v>
      </c>
    </row>
    <row r="547" spans="1:7" ht="16.5">
      <c r="A547" s="5" t="s">
        <v>3829</v>
      </c>
      <c r="B547" s="10" t="s">
        <v>3830</v>
      </c>
      <c r="C547" s="5" t="s">
        <v>541</v>
      </c>
      <c r="D547" s="5" t="s">
        <v>3831</v>
      </c>
      <c r="E547" s="5" t="s">
        <v>3818</v>
      </c>
      <c r="F547" s="5">
        <v>68</v>
      </c>
      <c r="G547" s="5">
        <v>408</v>
      </c>
    </row>
    <row r="548" spans="1:7" ht="16.5">
      <c r="A548" s="5" t="s">
        <v>3832</v>
      </c>
      <c r="B548" s="10" t="s">
        <v>3833</v>
      </c>
      <c r="C548" s="5" t="s">
        <v>542</v>
      </c>
      <c r="D548" s="5" t="s">
        <v>3834</v>
      </c>
      <c r="E548" s="5" t="s">
        <v>3818</v>
      </c>
      <c r="F548" s="5">
        <v>66</v>
      </c>
      <c r="G548" s="5">
        <v>396</v>
      </c>
    </row>
    <row r="549" spans="1:7" ht="16.5">
      <c r="A549" s="5" t="s">
        <v>3835</v>
      </c>
      <c r="B549" s="10" t="s">
        <v>3836</v>
      </c>
      <c r="C549" s="5" t="s">
        <v>543</v>
      </c>
      <c r="D549" s="5" t="s">
        <v>3837</v>
      </c>
      <c r="E549" s="5" t="s">
        <v>3818</v>
      </c>
      <c r="F549" s="5">
        <v>60</v>
      </c>
      <c r="G549" s="5">
        <v>360</v>
      </c>
    </row>
    <row r="550" spans="1:7" ht="16.5">
      <c r="A550" s="5" t="s">
        <v>3838</v>
      </c>
      <c r="B550" s="10" t="s">
        <v>3839</v>
      </c>
      <c r="C550" s="5" t="s">
        <v>544</v>
      </c>
      <c r="D550" s="5" t="s">
        <v>3840</v>
      </c>
      <c r="E550" s="5" t="s">
        <v>3818</v>
      </c>
      <c r="F550" s="5">
        <v>65</v>
      </c>
      <c r="G550" s="5">
        <v>390</v>
      </c>
    </row>
    <row r="551" spans="1:7" ht="16.5">
      <c r="A551" s="5" t="s">
        <v>3841</v>
      </c>
      <c r="B551" s="10" t="s">
        <v>3842</v>
      </c>
      <c r="C551" s="5" t="s">
        <v>545</v>
      </c>
      <c r="D551" s="5" t="s">
        <v>3843</v>
      </c>
      <c r="E551" s="5" t="s">
        <v>3818</v>
      </c>
      <c r="F551" s="5">
        <v>40</v>
      </c>
      <c r="G551" s="5">
        <v>240</v>
      </c>
    </row>
    <row r="552" spans="1:7" ht="16.5">
      <c r="A552" s="5" t="s">
        <v>3844</v>
      </c>
      <c r="B552" s="10" t="s">
        <v>3845</v>
      </c>
      <c r="C552" s="5" t="s">
        <v>546</v>
      </c>
      <c r="D552" s="5" t="s">
        <v>3846</v>
      </c>
      <c r="E552" s="5" t="s">
        <v>3818</v>
      </c>
      <c r="F552" s="5">
        <v>32.8</v>
      </c>
      <c r="G552" s="5">
        <v>197</v>
      </c>
    </row>
    <row r="553" spans="1:7" ht="16.5">
      <c r="A553" s="5" t="s">
        <v>3847</v>
      </c>
      <c r="B553" s="10" t="s">
        <v>3848</v>
      </c>
      <c r="C553" s="5" t="s">
        <v>547</v>
      </c>
      <c r="D553" s="5" t="s">
        <v>3849</v>
      </c>
      <c r="E553" s="5" t="s">
        <v>3818</v>
      </c>
      <c r="F553" s="5">
        <v>63</v>
      </c>
      <c r="G553" s="5">
        <v>378</v>
      </c>
    </row>
    <row r="554" spans="1:7" ht="16.5">
      <c r="A554" s="5" t="s">
        <v>3850</v>
      </c>
      <c r="B554" s="10" t="s">
        <v>3851</v>
      </c>
      <c r="C554" s="5" t="s">
        <v>548</v>
      </c>
      <c r="D554" s="5" t="s">
        <v>3852</v>
      </c>
      <c r="E554" s="5" t="s">
        <v>3818</v>
      </c>
      <c r="F554" s="5">
        <v>23</v>
      </c>
      <c r="G554" s="5">
        <v>138</v>
      </c>
    </row>
    <row r="555" spans="1:7" ht="16.5">
      <c r="A555" s="5" t="s">
        <v>3853</v>
      </c>
      <c r="B555" s="10" t="s">
        <v>3854</v>
      </c>
      <c r="C555" s="5" t="s">
        <v>549</v>
      </c>
      <c r="D555" s="5" t="s">
        <v>2337</v>
      </c>
      <c r="E555" s="5" t="s">
        <v>3855</v>
      </c>
      <c r="F555" s="5">
        <v>22</v>
      </c>
      <c r="G555" s="5">
        <v>132</v>
      </c>
    </row>
    <row r="556" spans="1:7" ht="16.5">
      <c r="A556" s="5" t="s">
        <v>3856</v>
      </c>
      <c r="B556" s="10" t="s">
        <v>3857</v>
      </c>
      <c r="C556" s="5" t="s">
        <v>550</v>
      </c>
      <c r="D556" s="5" t="s">
        <v>3858</v>
      </c>
      <c r="E556" s="5" t="s">
        <v>3855</v>
      </c>
      <c r="F556" s="5">
        <v>18</v>
      </c>
      <c r="G556" s="5">
        <v>108</v>
      </c>
    </row>
    <row r="557" spans="1:7" ht="16.5">
      <c r="A557" s="5" t="s">
        <v>3859</v>
      </c>
      <c r="B557" s="10" t="s">
        <v>3860</v>
      </c>
      <c r="C557" s="5" t="s">
        <v>551</v>
      </c>
      <c r="D557" s="5" t="s">
        <v>3861</v>
      </c>
      <c r="E557" s="5" t="s">
        <v>3855</v>
      </c>
      <c r="F557" s="5">
        <v>28.8</v>
      </c>
      <c r="G557" s="5">
        <v>173</v>
      </c>
    </row>
    <row r="558" spans="1:7" ht="16.5">
      <c r="A558" s="5" t="s">
        <v>3862</v>
      </c>
      <c r="B558" s="10" t="s">
        <v>3863</v>
      </c>
      <c r="C558" s="5" t="s">
        <v>552</v>
      </c>
      <c r="D558" s="5" t="s">
        <v>3864</v>
      </c>
      <c r="E558" s="5" t="s">
        <v>3855</v>
      </c>
      <c r="F558" s="5">
        <v>66</v>
      </c>
      <c r="G558" s="5">
        <v>396</v>
      </c>
    </row>
    <row r="559" spans="1:7" ht="16.5">
      <c r="A559" s="5" t="s">
        <v>3865</v>
      </c>
      <c r="B559" s="10" t="s">
        <v>3866</v>
      </c>
      <c r="C559" s="5" t="s">
        <v>553</v>
      </c>
      <c r="D559" s="5" t="s">
        <v>3867</v>
      </c>
      <c r="E559" s="5" t="s">
        <v>3855</v>
      </c>
      <c r="F559" s="5">
        <v>36</v>
      </c>
      <c r="G559" s="5">
        <v>216</v>
      </c>
    </row>
    <row r="560" spans="1:7" ht="16.5">
      <c r="A560" s="5" t="s">
        <v>3868</v>
      </c>
      <c r="B560" s="10" t="s">
        <v>3869</v>
      </c>
      <c r="C560" s="5" t="s">
        <v>554</v>
      </c>
      <c r="D560" s="5" t="s">
        <v>3867</v>
      </c>
      <c r="E560" s="5" t="s">
        <v>3855</v>
      </c>
      <c r="F560" s="5">
        <v>68</v>
      </c>
      <c r="G560" s="5">
        <v>408</v>
      </c>
    </row>
    <row r="561" spans="1:7" ht="16.5">
      <c r="A561" s="5" t="s">
        <v>3870</v>
      </c>
      <c r="B561" s="10" t="s">
        <v>3871</v>
      </c>
      <c r="C561" s="5" t="s">
        <v>555</v>
      </c>
      <c r="D561" s="5" t="s">
        <v>3872</v>
      </c>
      <c r="E561" s="5" t="s">
        <v>3855</v>
      </c>
      <c r="F561" s="5">
        <v>68</v>
      </c>
      <c r="G561" s="5">
        <v>408</v>
      </c>
    </row>
    <row r="562" spans="1:7" ht="16.5">
      <c r="A562" s="5" t="s">
        <v>3873</v>
      </c>
      <c r="B562" s="10" t="s">
        <v>3874</v>
      </c>
      <c r="C562" s="5" t="s">
        <v>556</v>
      </c>
      <c r="D562" s="5" t="s">
        <v>3875</v>
      </c>
      <c r="E562" s="5" t="s">
        <v>3855</v>
      </c>
      <c r="F562" s="5">
        <v>39.8</v>
      </c>
      <c r="G562" s="5">
        <v>239</v>
      </c>
    </row>
    <row r="563" spans="1:7" ht="16.5">
      <c r="A563" s="5" t="s">
        <v>3876</v>
      </c>
      <c r="B563" s="10" t="s">
        <v>3877</v>
      </c>
      <c r="C563" s="5" t="s">
        <v>557</v>
      </c>
      <c r="D563" s="5" t="s">
        <v>3878</v>
      </c>
      <c r="E563" s="5" t="s">
        <v>3855</v>
      </c>
      <c r="F563" s="5">
        <v>34.8</v>
      </c>
      <c r="G563" s="5">
        <v>209</v>
      </c>
    </row>
    <row r="564" spans="1:7" ht="16.5">
      <c r="A564" s="5" t="s">
        <v>3879</v>
      </c>
      <c r="B564" s="10" t="s">
        <v>3880</v>
      </c>
      <c r="C564" s="5" t="s">
        <v>558</v>
      </c>
      <c r="D564" s="5" t="s">
        <v>3881</v>
      </c>
      <c r="E564" s="5" t="s">
        <v>3855</v>
      </c>
      <c r="F564" s="5">
        <v>50</v>
      </c>
      <c r="G564" s="5">
        <v>300</v>
      </c>
    </row>
    <row r="565" spans="1:7" ht="16.5">
      <c r="A565" s="5" t="s">
        <v>3882</v>
      </c>
      <c r="B565" s="10" t="s">
        <v>3883</v>
      </c>
      <c r="C565" s="5" t="s">
        <v>559</v>
      </c>
      <c r="D565" s="5" t="s">
        <v>2236</v>
      </c>
      <c r="E565" s="5" t="s">
        <v>3884</v>
      </c>
      <c r="F565" s="5">
        <v>42</v>
      </c>
      <c r="G565" s="5">
        <v>252</v>
      </c>
    </row>
    <row r="566" spans="1:7" ht="16.5">
      <c r="A566" s="5" t="s">
        <v>3885</v>
      </c>
      <c r="B566" s="10" t="s">
        <v>3886</v>
      </c>
      <c r="C566" s="5" t="s">
        <v>560</v>
      </c>
      <c r="D566" s="5" t="s">
        <v>3887</v>
      </c>
      <c r="E566" s="5" t="s">
        <v>3884</v>
      </c>
      <c r="F566" s="5">
        <v>39</v>
      </c>
      <c r="G566" s="5">
        <v>228</v>
      </c>
    </row>
    <row r="567" spans="1:7" ht="16.5">
      <c r="A567" s="5" t="s">
        <v>3888</v>
      </c>
      <c r="B567" s="10" t="s">
        <v>3889</v>
      </c>
      <c r="C567" s="5" t="s">
        <v>561</v>
      </c>
      <c r="D567" s="5" t="s">
        <v>3890</v>
      </c>
      <c r="E567" s="5" t="s">
        <v>3884</v>
      </c>
      <c r="F567" s="5">
        <v>50</v>
      </c>
      <c r="G567" s="5">
        <v>300</v>
      </c>
    </row>
    <row r="568" spans="1:7" ht="16.5">
      <c r="A568" s="5" t="s">
        <v>3891</v>
      </c>
      <c r="B568" s="10" t="s">
        <v>3892</v>
      </c>
      <c r="C568" s="5" t="s">
        <v>562</v>
      </c>
      <c r="D568" s="5" t="s">
        <v>3893</v>
      </c>
      <c r="E568" s="5" t="s">
        <v>3884</v>
      </c>
      <c r="F568" s="5">
        <v>62</v>
      </c>
      <c r="G568" s="5">
        <v>372</v>
      </c>
    </row>
    <row r="569" spans="1:7" ht="16.5">
      <c r="A569" s="5" t="s">
        <v>3894</v>
      </c>
      <c r="B569" s="10" t="s">
        <v>3895</v>
      </c>
      <c r="C569" s="5" t="s">
        <v>563</v>
      </c>
      <c r="D569" s="5" t="s">
        <v>3896</v>
      </c>
      <c r="E569" s="5" t="s">
        <v>3884</v>
      </c>
      <c r="F569" s="5">
        <v>42</v>
      </c>
      <c r="G569" s="5">
        <v>252</v>
      </c>
    </row>
    <row r="570" spans="1:7" ht="16.5">
      <c r="A570" s="5" t="s">
        <v>3897</v>
      </c>
      <c r="B570" s="10" t="s">
        <v>3898</v>
      </c>
      <c r="C570" s="5" t="s">
        <v>564</v>
      </c>
      <c r="D570" s="5" t="s">
        <v>3899</v>
      </c>
      <c r="E570" s="5" t="s">
        <v>3900</v>
      </c>
      <c r="F570" s="5">
        <v>26</v>
      </c>
      <c r="G570" s="5">
        <v>156</v>
      </c>
    </row>
    <row r="571" spans="1:7" ht="16.5">
      <c r="A571" s="5" t="s">
        <v>3901</v>
      </c>
      <c r="B571" s="10" t="s">
        <v>3902</v>
      </c>
      <c r="C571" s="5" t="s">
        <v>565</v>
      </c>
      <c r="D571" s="5" t="s">
        <v>3903</v>
      </c>
      <c r="E571" s="5" t="s">
        <v>3900</v>
      </c>
      <c r="F571" s="5">
        <v>15</v>
      </c>
      <c r="G571" s="5">
        <v>90</v>
      </c>
    </row>
    <row r="572" spans="1:7" ht="16.5">
      <c r="A572" s="5" t="s">
        <v>3904</v>
      </c>
      <c r="B572" s="10" t="s">
        <v>3905</v>
      </c>
      <c r="C572" s="5" t="s">
        <v>566</v>
      </c>
      <c r="D572" s="5" t="s">
        <v>3906</v>
      </c>
      <c r="E572" s="5" t="s">
        <v>3900</v>
      </c>
      <c r="F572" s="5">
        <v>16</v>
      </c>
      <c r="G572" s="5">
        <v>96</v>
      </c>
    </row>
    <row r="573" spans="1:7" ht="16.5">
      <c r="A573" s="5" t="s">
        <v>3907</v>
      </c>
      <c r="B573" s="10" t="s">
        <v>3908</v>
      </c>
      <c r="C573" s="5" t="s">
        <v>567</v>
      </c>
      <c r="D573" s="5" t="s">
        <v>3909</v>
      </c>
      <c r="E573" s="5" t="s">
        <v>3900</v>
      </c>
      <c r="F573" s="5">
        <v>29</v>
      </c>
      <c r="G573" s="5">
        <v>174</v>
      </c>
    </row>
    <row r="574" spans="1:7" ht="16.5">
      <c r="A574" s="5" t="s">
        <v>3910</v>
      </c>
      <c r="B574" s="10" t="s">
        <v>3911</v>
      </c>
      <c r="C574" s="5" t="s">
        <v>568</v>
      </c>
      <c r="D574" s="5" t="s">
        <v>3912</v>
      </c>
      <c r="E574" s="5" t="s">
        <v>3900</v>
      </c>
      <c r="F574" s="5">
        <v>19.8</v>
      </c>
      <c r="G574" s="5">
        <v>119</v>
      </c>
    </row>
    <row r="575" spans="1:7" ht="16.5">
      <c r="A575" s="5" t="s">
        <v>3913</v>
      </c>
      <c r="B575" s="10" t="s">
        <v>3914</v>
      </c>
      <c r="C575" s="5" t="s">
        <v>569</v>
      </c>
      <c r="D575" s="5" t="s">
        <v>3915</v>
      </c>
      <c r="E575" s="5" t="s">
        <v>3900</v>
      </c>
      <c r="F575" s="5">
        <v>19.8</v>
      </c>
      <c r="G575" s="5">
        <v>119</v>
      </c>
    </row>
    <row r="576" spans="1:7" ht="16.5">
      <c r="A576" s="5" t="s">
        <v>3916</v>
      </c>
      <c r="B576" s="10" t="s">
        <v>3917</v>
      </c>
      <c r="C576" s="5" t="s">
        <v>570</v>
      </c>
      <c r="D576" s="5" t="s">
        <v>3918</v>
      </c>
      <c r="E576" s="5" t="s">
        <v>3900</v>
      </c>
      <c r="F576" s="5">
        <v>35</v>
      </c>
      <c r="G576" s="5">
        <v>210</v>
      </c>
    </row>
    <row r="577" spans="1:7" ht="16.5">
      <c r="A577" s="5" t="s">
        <v>3919</v>
      </c>
      <c r="B577" s="10" t="s">
        <v>3920</v>
      </c>
      <c r="C577" s="5" t="s">
        <v>571</v>
      </c>
      <c r="D577" s="5" t="s">
        <v>3921</v>
      </c>
      <c r="E577" s="5" t="s">
        <v>3900</v>
      </c>
      <c r="F577" s="5">
        <v>22</v>
      </c>
      <c r="G577" s="5">
        <v>132</v>
      </c>
    </row>
    <row r="578" spans="1:7" ht="16.5">
      <c r="A578" s="5" t="s">
        <v>3922</v>
      </c>
      <c r="B578" s="10" t="s">
        <v>3923</v>
      </c>
      <c r="C578" s="5" t="s">
        <v>572</v>
      </c>
      <c r="D578" s="5" t="s">
        <v>3924</v>
      </c>
      <c r="E578" s="5" t="s">
        <v>3900</v>
      </c>
      <c r="F578" s="5">
        <v>18</v>
      </c>
      <c r="G578" s="5">
        <v>108</v>
      </c>
    </row>
    <row r="579" spans="1:7" ht="16.5">
      <c r="A579" s="5" t="s">
        <v>3925</v>
      </c>
      <c r="B579" s="10" t="s">
        <v>3926</v>
      </c>
      <c r="C579" s="5" t="s">
        <v>573</v>
      </c>
      <c r="D579" s="5" t="s">
        <v>3927</v>
      </c>
      <c r="E579" s="5" t="s">
        <v>3900</v>
      </c>
      <c r="F579" s="5">
        <v>68</v>
      </c>
      <c r="G579" s="5">
        <v>408</v>
      </c>
    </row>
    <row r="580" spans="1:7" ht="16.5">
      <c r="A580" s="5" t="s">
        <v>3928</v>
      </c>
      <c r="B580" s="10" t="s">
        <v>3929</v>
      </c>
      <c r="C580" s="5" t="s">
        <v>574</v>
      </c>
      <c r="D580" s="5" t="s">
        <v>3930</v>
      </c>
      <c r="E580" s="5" t="s">
        <v>3900</v>
      </c>
      <c r="F580" s="5">
        <v>68</v>
      </c>
      <c r="G580" s="5">
        <v>408</v>
      </c>
    </row>
    <row r="581" spans="1:7" ht="16.5">
      <c r="A581" s="5" t="s">
        <v>3931</v>
      </c>
      <c r="B581" s="10" t="s">
        <v>3932</v>
      </c>
      <c r="C581" s="5" t="s">
        <v>575</v>
      </c>
      <c r="D581" s="5" t="s">
        <v>3933</v>
      </c>
      <c r="E581" s="5" t="s">
        <v>3900</v>
      </c>
      <c r="F581" s="5">
        <v>18</v>
      </c>
      <c r="G581" s="5">
        <v>108</v>
      </c>
    </row>
    <row r="582" spans="1:7" ht="16.5">
      <c r="A582" s="5" t="s">
        <v>3934</v>
      </c>
      <c r="B582" s="10" t="s">
        <v>3935</v>
      </c>
      <c r="C582" s="5" t="s">
        <v>576</v>
      </c>
      <c r="D582" s="5" t="s">
        <v>3936</v>
      </c>
      <c r="E582" s="5" t="s">
        <v>3900</v>
      </c>
      <c r="F582" s="5">
        <v>20</v>
      </c>
      <c r="G582" s="5">
        <v>120</v>
      </c>
    </row>
    <row r="583" spans="1:7" ht="16.5">
      <c r="A583" s="5" t="s">
        <v>3937</v>
      </c>
      <c r="B583" s="10" t="s">
        <v>3938</v>
      </c>
      <c r="C583" s="5" t="s">
        <v>577</v>
      </c>
      <c r="D583" s="5" t="s">
        <v>3939</v>
      </c>
      <c r="E583" s="5" t="s">
        <v>3900</v>
      </c>
      <c r="F583" s="5">
        <v>32</v>
      </c>
      <c r="G583" s="5">
        <v>192</v>
      </c>
    </row>
    <row r="584" spans="1:7" ht="16.5">
      <c r="A584" s="5" t="s">
        <v>3940</v>
      </c>
      <c r="B584" s="10" t="s">
        <v>3941</v>
      </c>
      <c r="C584" s="5" t="s">
        <v>578</v>
      </c>
      <c r="D584" s="5" t="s">
        <v>3942</v>
      </c>
      <c r="E584" s="5" t="s">
        <v>3900</v>
      </c>
      <c r="F584" s="5">
        <v>22</v>
      </c>
      <c r="G584" s="5">
        <v>132</v>
      </c>
    </row>
    <row r="585" spans="1:7" ht="16.5">
      <c r="A585" s="5" t="s">
        <v>3943</v>
      </c>
      <c r="B585" s="10" t="s">
        <v>3944</v>
      </c>
      <c r="C585" s="5" t="s">
        <v>579</v>
      </c>
      <c r="D585" s="5" t="s">
        <v>3945</v>
      </c>
      <c r="E585" s="5" t="s">
        <v>3900</v>
      </c>
      <c r="F585" s="5">
        <v>32</v>
      </c>
      <c r="G585" s="5">
        <v>192</v>
      </c>
    </row>
    <row r="586" spans="1:7" ht="16.5">
      <c r="A586" s="5" t="s">
        <v>3946</v>
      </c>
      <c r="B586" s="10" t="s">
        <v>3947</v>
      </c>
      <c r="C586" s="5" t="s">
        <v>580</v>
      </c>
      <c r="D586" s="5" t="s">
        <v>3948</v>
      </c>
      <c r="E586" s="5" t="s">
        <v>3900</v>
      </c>
      <c r="F586" s="5">
        <v>22</v>
      </c>
      <c r="G586" s="5">
        <v>132</v>
      </c>
    </row>
    <row r="587" spans="1:7" ht="16.5">
      <c r="A587" s="5" t="s">
        <v>3949</v>
      </c>
      <c r="B587" s="10" t="s">
        <v>3950</v>
      </c>
      <c r="C587" s="5" t="s">
        <v>581</v>
      </c>
      <c r="D587" s="5" t="s">
        <v>3951</v>
      </c>
      <c r="E587" s="5" t="s">
        <v>3900</v>
      </c>
      <c r="F587" s="5">
        <v>20</v>
      </c>
      <c r="G587" s="5">
        <v>120</v>
      </c>
    </row>
    <row r="588" spans="1:7" ht="16.5">
      <c r="A588" s="5" t="s">
        <v>3952</v>
      </c>
      <c r="B588" s="10" t="s">
        <v>3953</v>
      </c>
      <c r="C588" s="5" t="s">
        <v>582</v>
      </c>
      <c r="D588" s="5" t="s">
        <v>3954</v>
      </c>
      <c r="E588" s="5" t="s">
        <v>3900</v>
      </c>
      <c r="F588" s="5">
        <v>88</v>
      </c>
      <c r="G588" s="5">
        <v>528</v>
      </c>
    </row>
    <row r="589" spans="1:7" ht="16.5">
      <c r="A589" s="5" t="s">
        <v>3955</v>
      </c>
      <c r="B589" s="10" t="s">
        <v>3956</v>
      </c>
      <c r="C589" s="5" t="s">
        <v>583</v>
      </c>
      <c r="D589" s="5" t="s">
        <v>3957</v>
      </c>
      <c r="E589" s="5" t="s">
        <v>3900</v>
      </c>
      <c r="F589" s="5">
        <v>32</v>
      </c>
      <c r="G589" s="5">
        <v>192</v>
      </c>
    </row>
    <row r="590" spans="1:7" ht="16.5">
      <c r="A590" s="5" t="s">
        <v>3958</v>
      </c>
      <c r="B590" s="10" t="s">
        <v>3959</v>
      </c>
      <c r="C590" s="5" t="s">
        <v>584</v>
      </c>
      <c r="D590" s="5" t="s">
        <v>3960</v>
      </c>
      <c r="E590" s="5" t="s">
        <v>3900</v>
      </c>
      <c r="F590" s="5">
        <v>34</v>
      </c>
      <c r="G590" s="5">
        <v>204</v>
      </c>
    </row>
    <row r="591" spans="1:7" ht="16.5">
      <c r="A591" s="5" t="s">
        <v>3961</v>
      </c>
      <c r="B591" s="10" t="s">
        <v>3962</v>
      </c>
      <c r="C591" s="5" t="s">
        <v>585</v>
      </c>
      <c r="D591" s="5" t="s">
        <v>3963</v>
      </c>
      <c r="E591" s="5" t="s">
        <v>3900</v>
      </c>
      <c r="F591" s="5">
        <v>35</v>
      </c>
      <c r="G591" s="5">
        <v>210</v>
      </c>
    </row>
    <row r="592" spans="1:7" ht="16.5">
      <c r="A592" s="5" t="s">
        <v>3964</v>
      </c>
      <c r="B592" s="10" t="s">
        <v>3965</v>
      </c>
      <c r="C592" s="5" t="s">
        <v>586</v>
      </c>
      <c r="D592" s="5" t="s">
        <v>3966</v>
      </c>
      <c r="E592" s="5" t="s">
        <v>3967</v>
      </c>
      <c r="F592" s="5">
        <v>15</v>
      </c>
      <c r="G592" s="5">
        <v>90</v>
      </c>
    </row>
    <row r="593" spans="1:7" ht="16.5">
      <c r="A593" s="5" t="s">
        <v>3968</v>
      </c>
      <c r="B593" s="10" t="s">
        <v>3969</v>
      </c>
      <c r="C593" s="5" t="s">
        <v>587</v>
      </c>
      <c r="D593" s="5" t="s">
        <v>3970</v>
      </c>
      <c r="E593" s="5" t="s">
        <v>3967</v>
      </c>
      <c r="F593" s="5">
        <v>40</v>
      </c>
      <c r="G593" s="5">
        <v>240</v>
      </c>
    </row>
    <row r="594" spans="1:7" ht="16.5">
      <c r="A594" s="5" t="s">
        <v>3971</v>
      </c>
      <c r="B594" s="10" t="s">
        <v>3972</v>
      </c>
      <c r="C594" s="5" t="s">
        <v>588</v>
      </c>
      <c r="D594" s="5" t="s">
        <v>3973</v>
      </c>
      <c r="E594" s="5" t="s">
        <v>3967</v>
      </c>
      <c r="F594" s="5">
        <v>38</v>
      </c>
      <c r="G594" s="5">
        <v>228</v>
      </c>
    </row>
    <row r="595" spans="1:7" ht="16.5">
      <c r="A595" s="5" t="s">
        <v>3974</v>
      </c>
      <c r="B595" s="10" t="s">
        <v>3975</v>
      </c>
      <c r="C595" s="5" t="s">
        <v>589</v>
      </c>
      <c r="D595" s="5" t="s">
        <v>3976</v>
      </c>
      <c r="E595" s="5" t="s">
        <v>3967</v>
      </c>
      <c r="F595" s="5">
        <v>35</v>
      </c>
      <c r="G595" s="5">
        <v>210</v>
      </c>
    </row>
    <row r="596" spans="1:7" ht="16.5">
      <c r="A596" s="5" t="s">
        <v>3977</v>
      </c>
      <c r="B596" s="10" t="s">
        <v>3978</v>
      </c>
      <c r="C596" s="5" t="s">
        <v>590</v>
      </c>
      <c r="D596" s="5" t="s">
        <v>3979</v>
      </c>
      <c r="E596" s="5" t="s">
        <v>3980</v>
      </c>
      <c r="F596" s="5">
        <v>30</v>
      </c>
      <c r="G596" s="5">
        <v>180</v>
      </c>
    </row>
    <row r="597" spans="1:7" ht="16.5">
      <c r="A597" s="5" t="s">
        <v>3981</v>
      </c>
      <c r="B597" s="10" t="s">
        <v>3982</v>
      </c>
      <c r="C597" s="5" t="s">
        <v>591</v>
      </c>
      <c r="D597" s="5" t="s">
        <v>3983</v>
      </c>
      <c r="E597" s="5" t="s">
        <v>3980</v>
      </c>
      <c r="F597" s="5">
        <v>88</v>
      </c>
      <c r="G597" s="5">
        <v>528</v>
      </c>
    </row>
    <row r="598" spans="1:7" ht="16.5">
      <c r="A598" s="5" t="s">
        <v>3984</v>
      </c>
      <c r="B598" s="10" t="s">
        <v>3985</v>
      </c>
      <c r="C598" s="5" t="s">
        <v>592</v>
      </c>
      <c r="D598" s="5" t="s">
        <v>3986</v>
      </c>
      <c r="E598" s="5" t="s">
        <v>3987</v>
      </c>
      <c r="F598" s="5">
        <v>28</v>
      </c>
      <c r="G598" s="5">
        <v>168</v>
      </c>
    </row>
    <row r="599" spans="1:7" ht="16.5">
      <c r="A599" s="5" t="s">
        <v>3988</v>
      </c>
      <c r="B599" s="10" t="s">
        <v>3989</v>
      </c>
      <c r="C599" s="5" t="s">
        <v>593</v>
      </c>
      <c r="D599" s="5" t="s">
        <v>2607</v>
      </c>
      <c r="E599" s="5" t="s">
        <v>3987</v>
      </c>
      <c r="F599" s="5">
        <v>38</v>
      </c>
      <c r="G599" s="5">
        <v>228</v>
      </c>
    </row>
    <row r="600" spans="1:7" ht="16.5">
      <c r="A600" s="5" t="s">
        <v>3990</v>
      </c>
      <c r="B600" s="10" t="s">
        <v>3991</v>
      </c>
      <c r="C600" s="5" t="s">
        <v>594</v>
      </c>
      <c r="D600" s="5" t="s">
        <v>2607</v>
      </c>
      <c r="E600" s="5" t="s">
        <v>3987</v>
      </c>
      <c r="F600" s="5">
        <v>28</v>
      </c>
      <c r="G600" s="5">
        <v>168</v>
      </c>
    </row>
    <row r="601" spans="1:7" ht="16.5">
      <c r="A601" s="5" t="s">
        <v>3992</v>
      </c>
      <c r="B601" s="10" t="s">
        <v>3993</v>
      </c>
      <c r="C601" s="5" t="s">
        <v>595</v>
      </c>
      <c r="D601" s="5" t="s">
        <v>2607</v>
      </c>
      <c r="E601" s="5" t="s">
        <v>3987</v>
      </c>
      <c r="F601" s="5">
        <v>28</v>
      </c>
      <c r="G601" s="5">
        <v>168</v>
      </c>
    </row>
    <row r="602" spans="1:7" ht="16.5">
      <c r="A602" s="5" t="s">
        <v>3994</v>
      </c>
      <c r="B602" s="10" t="s">
        <v>3995</v>
      </c>
      <c r="C602" s="5" t="s">
        <v>596</v>
      </c>
      <c r="D602" s="5" t="s">
        <v>2607</v>
      </c>
      <c r="E602" s="5" t="s">
        <v>3987</v>
      </c>
      <c r="F602" s="5">
        <v>28</v>
      </c>
      <c r="G602" s="5">
        <v>168</v>
      </c>
    </row>
    <row r="603" spans="1:7" ht="16.5">
      <c r="A603" s="5" t="s">
        <v>3996</v>
      </c>
      <c r="B603" s="10" t="s">
        <v>3997</v>
      </c>
      <c r="C603" s="5" t="s">
        <v>597</v>
      </c>
      <c r="D603" s="5" t="s">
        <v>2607</v>
      </c>
      <c r="E603" s="5" t="s">
        <v>3987</v>
      </c>
      <c r="F603" s="5">
        <v>28</v>
      </c>
      <c r="G603" s="5">
        <v>168</v>
      </c>
    </row>
    <row r="604" spans="1:7" ht="16.5">
      <c r="A604" s="5" t="s">
        <v>3998</v>
      </c>
      <c r="B604" s="10" t="s">
        <v>3999</v>
      </c>
      <c r="C604" s="5" t="s">
        <v>598</v>
      </c>
      <c r="D604" s="5" t="s">
        <v>4000</v>
      </c>
      <c r="E604" s="5" t="s">
        <v>4001</v>
      </c>
      <c r="F604" s="5">
        <v>20</v>
      </c>
      <c r="G604" s="5">
        <v>120</v>
      </c>
    </row>
    <row r="605" spans="1:7" ht="16.5">
      <c r="A605" s="5" t="s">
        <v>4002</v>
      </c>
      <c r="B605" s="10" t="s">
        <v>4003</v>
      </c>
      <c r="C605" s="5" t="s">
        <v>599</v>
      </c>
      <c r="D605" s="5" t="s">
        <v>4004</v>
      </c>
      <c r="E605" s="5" t="s">
        <v>4001</v>
      </c>
      <c r="F605" s="5">
        <v>19</v>
      </c>
      <c r="G605" s="5">
        <v>114</v>
      </c>
    </row>
    <row r="606" spans="1:7" ht="16.5">
      <c r="A606" s="5" t="s">
        <v>4005</v>
      </c>
      <c r="B606" s="10" t="s">
        <v>4006</v>
      </c>
      <c r="C606" s="5" t="s">
        <v>600</v>
      </c>
      <c r="D606" s="5" t="s">
        <v>4007</v>
      </c>
      <c r="E606" s="5" t="s">
        <v>4001</v>
      </c>
      <c r="F606" s="5">
        <v>22</v>
      </c>
      <c r="G606" s="5">
        <v>132</v>
      </c>
    </row>
    <row r="607" spans="1:7" ht="16.5">
      <c r="A607" s="5" t="s">
        <v>4008</v>
      </c>
      <c r="B607" s="10" t="s">
        <v>4009</v>
      </c>
      <c r="C607" s="5" t="s">
        <v>601</v>
      </c>
      <c r="D607" s="5" t="s">
        <v>4010</v>
      </c>
      <c r="E607" s="5" t="s">
        <v>4001</v>
      </c>
      <c r="F607" s="5">
        <v>24</v>
      </c>
      <c r="G607" s="5">
        <v>144</v>
      </c>
    </row>
    <row r="608" spans="1:7" ht="16.5">
      <c r="A608" s="5" t="s">
        <v>4011</v>
      </c>
      <c r="B608" s="10" t="s">
        <v>4012</v>
      </c>
      <c r="C608" s="5" t="s">
        <v>602</v>
      </c>
      <c r="D608" s="5" t="s">
        <v>4013</v>
      </c>
      <c r="E608" s="5" t="s">
        <v>4001</v>
      </c>
      <c r="F608" s="5">
        <v>24</v>
      </c>
      <c r="G608" s="5">
        <v>144</v>
      </c>
    </row>
    <row r="609" spans="1:7" ht="16.5">
      <c r="A609" s="5" t="s">
        <v>4014</v>
      </c>
      <c r="B609" s="10" t="s">
        <v>4015</v>
      </c>
      <c r="C609" s="5" t="s">
        <v>603</v>
      </c>
      <c r="D609" s="5" t="s">
        <v>4016</v>
      </c>
      <c r="E609" s="5" t="s">
        <v>4001</v>
      </c>
      <c r="F609" s="5">
        <v>39</v>
      </c>
      <c r="G609" s="5">
        <v>234</v>
      </c>
    </row>
    <row r="610" spans="1:7" ht="16.5">
      <c r="A610" s="5" t="s">
        <v>4017</v>
      </c>
      <c r="B610" s="10" t="s">
        <v>4018</v>
      </c>
      <c r="C610" s="5" t="s">
        <v>604</v>
      </c>
      <c r="D610" s="5" t="s">
        <v>4019</v>
      </c>
      <c r="E610" s="5" t="s">
        <v>4001</v>
      </c>
      <c r="F610" s="5">
        <v>70</v>
      </c>
      <c r="G610" s="5">
        <v>420</v>
      </c>
    </row>
    <row r="611" spans="1:7" ht="16.5">
      <c r="A611" s="5" t="s">
        <v>4020</v>
      </c>
      <c r="B611" s="10" t="s">
        <v>4021</v>
      </c>
      <c r="C611" s="5" t="s">
        <v>605</v>
      </c>
      <c r="D611" s="5" t="s">
        <v>4022</v>
      </c>
      <c r="E611" s="5" t="s">
        <v>4001</v>
      </c>
      <c r="F611" s="5">
        <v>38</v>
      </c>
      <c r="G611" s="5">
        <v>228</v>
      </c>
    </row>
    <row r="612" spans="1:7" ht="16.5">
      <c r="A612" s="5" t="s">
        <v>4023</v>
      </c>
      <c r="B612" s="10" t="s">
        <v>4024</v>
      </c>
      <c r="C612" s="5" t="s">
        <v>606</v>
      </c>
      <c r="D612" s="5" t="s">
        <v>4025</v>
      </c>
      <c r="E612" s="5" t="s">
        <v>4001</v>
      </c>
      <c r="F612" s="5">
        <v>50</v>
      </c>
      <c r="G612" s="5">
        <v>300</v>
      </c>
    </row>
    <row r="613" spans="1:7" ht="16.5">
      <c r="A613" s="5" t="s">
        <v>4026</v>
      </c>
      <c r="B613" s="10" t="s">
        <v>4027</v>
      </c>
      <c r="C613" s="5" t="s">
        <v>607</v>
      </c>
      <c r="D613" s="5" t="s">
        <v>4028</v>
      </c>
      <c r="E613" s="5" t="s">
        <v>4001</v>
      </c>
      <c r="F613" s="5">
        <v>40</v>
      </c>
      <c r="G613" s="5">
        <v>240</v>
      </c>
    </row>
    <row r="614" spans="1:7" ht="16.5">
      <c r="A614" s="5" t="s">
        <v>4029</v>
      </c>
      <c r="B614" s="10" t="s">
        <v>4030</v>
      </c>
      <c r="C614" s="5" t="s">
        <v>608</v>
      </c>
      <c r="D614" s="5" t="s">
        <v>2396</v>
      </c>
      <c r="E614" s="5" t="s">
        <v>4001</v>
      </c>
      <c r="F614" s="5">
        <v>45</v>
      </c>
      <c r="G614" s="5">
        <v>270</v>
      </c>
    </row>
    <row r="615" spans="1:7" ht="16.5">
      <c r="A615" s="5" t="s">
        <v>4031</v>
      </c>
      <c r="B615" s="10" t="s">
        <v>4032</v>
      </c>
      <c r="C615" s="5" t="s">
        <v>609</v>
      </c>
      <c r="D615" s="5" t="s">
        <v>4033</v>
      </c>
      <c r="E615" s="5" t="s">
        <v>4001</v>
      </c>
      <c r="F615" s="5">
        <v>60</v>
      </c>
      <c r="G615" s="5">
        <v>360</v>
      </c>
    </row>
    <row r="616" spans="1:7" ht="16.5">
      <c r="A616" s="5" t="s">
        <v>4034</v>
      </c>
      <c r="B616" s="10" t="s">
        <v>4035</v>
      </c>
      <c r="C616" s="5" t="s">
        <v>610</v>
      </c>
      <c r="D616" s="5" t="s">
        <v>4036</v>
      </c>
      <c r="E616" s="5" t="s">
        <v>4001</v>
      </c>
      <c r="F616" s="5">
        <v>35</v>
      </c>
      <c r="G616" s="5">
        <v>210</v>
      </c>
    </row>
    <row r="617" spans="1:7" ht="16.5">
      <c r="A617" s="5" t="s">
        <v>4037</v>
      </c>
      <c r="B617" s="10" t="s">
        <v>4038</v>
      </c>
      <c r="C617" s="5" t="s">
        <v>611</v>
      </c>
      <c r="D617" s="5" t="s">
        <v>4039</v>
      </c>
      <c r="E617" s="5" t="s">
        <v>4001</v>
      </c>
      <c r="F617" s="5">
        <v>89</v>
      </c>
      <c r="G617" s="5">
        <v>534</v>
      </c>
    </row>
    <row r="618" spans="1:7" ht="16.5">
      <c r="A618" s="5" t="s">
        <v>4040</v>
      </c>
      <c r="B618" s="10" t="s">
        <v>4041</v>
      </c>
      <c r="C618" s="5" t="s">
        <v>612</v>
      </c>
      <c r="D618" s="5" t="s">
        <v>4042</v>
      </c>
      <c r="E618" s="5" t="s">
        <v>4001</v>
      </c>
      <c r="F618" s="5">
        <v>24</v>
      </c>
      <c r="G618" s="5">
        <v>144</v>
      </c>
    </row>
    <row r="619" spans="1:7" ht="16.5">
      <c r="A619" s="5" t="s">
        <v>4043</v>
      </c>
      <c r="B619" s="10" t="s">
        <v>4044</v>
      </c>
      <c r="C619" s="5" t="s">
        <v>613</v>
      </c>
      <c r="D619" s="5" t="s">
        <v>4045</v>
      </c>
      <c r="E619" s="5" t="s">
        <v>4001</v>
      </c>
      <c r="F619" s="5">
        <v>45</v>
      </c>
      <c r="G619" s="5">
        <v>270</v>
      </c>
    </row>
    <row r="620" spans="1:7" ht="16.5">
      <c r="A620" s="5" t="s">
        <v>4046</v>
      </c>
      <c r="B620" s="10" t="s">
        <v>4047</v>
      </c>
      <c r="C620" s="5" t="s">
        <v>614</v>
      </c>
      <c r="D620" s="5" t="s">
        <v>4048</v>
      </c>
      <c r="E620" s="5" t="s">
        <v>4001</v>
      </c>
      <c r="F620" s="5">
        <v>58</v>
      </c>
      <c r="G620" s="5">
        <v>348</v>
      </c>
    </row>
    <row r="621" spans="1:7" ht="16.5">
      <c r="A621" s="5" t="s">
        <v>4049</v>
      </c>
      <c r="B621" s="10" t="s">
        <v>4050</v>
      </c>
      <c r="C621" s="5" t="s">
        <v>615</v>
      </c>
      <c r="D621" s="5" t="s">
        <v>4051</v>
      </c>
      <c r="E621" s="5" t="s">
        <v>4001</v>
      </c>
      <c r="F621" s="5">
        <v>31</v>
      </c>
      <c r="G621" s="5">
        <v>186</v>
      </c>
    </row>
    <row r="622" spans="1:7" ht="16.5">
      <c r="A622" s="5" t="s">
        <v>4052</v>
      </c>
      <c r="B622" s="10" t="s">
        <v>4053</v>
      </c>
      <c r="C622" s="5" t="s">
        <v>616</v>
      </c>
      <c r="D622" s="5" t="s">
        <v>2607</v>
      </c>
      <c r="E622" s="5" t="s">
        <v>4001</v>
      </c>
      <c r="F622" s="5">
        <v>65</v>
      </c>
      <c r="G622" s="5">
        <v>390</v>
      </c>
    </row>
    <row r="623" spans="1:7" ht="16.5">
      <c r="A623" s="5" t="s">
        <v>4054</v>
      </c>
      <c r="B623" s="10" t="s">
        <v>4055</v>
      </c>
      <c r="C623" s="5" t="s">
        <v>617</v>
      </c>
      <c r="D623" s="5" t="s">
        <v>4056</v>
      </c>
      <c r="E623" s="5" t="s">
        <v>4001</v>
      </c>
      <c r="F623" s="5">
        <v>45</v>
      </c>
      <c r="G623" s="5">
        <v>270</v>
      </c>
    </row>
    <row r="624" spans="1:7" ht="16.5">
      <c r="A624" s="5" t="s">
        <v>4057</v>
      </c>
      <c r="B624" s="10" t="s">
        <v>4058</v>
      </c>
      <c r="C624" s="5" t="s">
        <v>618</v>
      </c>
      <c r="D624" s="5" t="s">
        <v>4059</v>
      </c>
      <c r="E624" s="5" t="s">
        <v>4001</v>
      </c>
      <c r="F624" s="5">
        <v>55</v>
      </c>
      <c r="G624" s="5">
        <v>330</v>
      </c>
    </row>
    <row r="625" spans="1:7" ht="16.5">
      <c r="A625" s="5" t="s">
        <v>4060</v>
      </c>
      <c r="B625" s="10" t="s">
        <v>4061</v>
      </c>
      <c r="C625" s="5" t="s">
        <v>619</v>
      </c>
      <c r="D625" s="5" t="s">
        <v>4062</v>
      </c>
      <c r="E625" s="5" t="s">
        <v>4001</v>
      </c>
      <c r="F625" s="5">
        <v>50</v>
      </c>
      <c r="G625" s="5">
        <v>300</v>
      </c>
    </row>
    <row r="626" spans="1:7" ht="16.5">
      <c r="A626" s="5" t="s">
        <v>4063</v>
      </c>
      <c r="B626" s="10" t="s">
        <v>4064</v>
      </c>
      <c r="C626" s="5" t="s">
        <v>620</v>
      </c>
      <c r="D626" s="5" t="s">
        <v>4065</v>
      </c>
      <c r="E626" s="5" t="s">
        <v>4001</v>
      </c>
      <c r="F626" s="5">
        <v>24</v>
      </c>
      <c r="G626" s="5">
        <v>144</v>
      </c>
    </row>
    <row r="627" spans="1:7" ht="16.5">
      <c r="A627" s="5" t="s">
        <v>4066</v>
      </c>
      <c r="B627" s="10" t="s">
        <v>4067</v>
      </c>
      <c r="C627" s="5" t="s">
        <v>621</v>
      </c>
      <c r="D627" s="5" t="s">
        <v>4068</v>
      </c>
      <c r="E627" s="5" t="s">
        <v>4001</v>
      </c>
      <c r="F627" s="5">
        <v>28</v>
      </c>
      <c r="G627" s="5">
        <v>168</v>
      </c>
    </row>
    <row r="628" spans="1:7" ht="16.5">
      <c r="A628" s="5" t="s">
        <v>4069</v>
      </c>
      <c r="B628" s="10" t="s">
        <v>4070</v>
      </c>
      <c r="C628" s="5" t="s">
        <v>622</v>
      </c>
      <c r="D628" s="5" t="s">
        <v>4071</v>
      </c>
      <c r="E628" s="5" t="s">
        <v>4001</v>
      </c>
      <c r="F628" s="5">
        <v>30</v>
      </c>
      <c r="G628" s="5">
        <v>180</v>
      </c>
    </row>
    <row r="629" spans="1:7" ht="16.5">
      <c r="A629" s="5" t="s">
        <v>4072</v>
      </c>
      <c r="B629" s="10" t="s">
        <v>4073</v>
      </c>
      <c r="C629" s="5" t="s">
        <v>623</v>
      </c>
      <c r="D629" s="5" t="s">
        <v>4074</v>
      </c>
      <c r="E629" s="5" t="s">
        <v>4001</v>
      </c>
      <c r="F629" s="5">
        <v>38</v>
      </c>
      <c r="G629" s="5">
        <v>228</v>
      </c>
    </row>
    <row r="630" spans="1:7" ht="16.5">
      <c r="A630" s="5" t="s">
        <v>4075</v>
      </c>
      <c r="B630" s="10" t="s">
        <v>4076</v>
      </c>
      <c r="C630" s="5" t="s">
        <v>624</v>
      </c>
      <c r="D630" s="5" t="s">
        <v>4077</v>
      </c>
      <c r="E630" s="5" t="s">
        <v>4001</v>
      </c>
      <c r="F630" s="5">
        <v>32</v>
      </c>
      <c r="G630" s="5">
        <v>192</v>
      </c>
    </row>
    <row r="631" spans="1:7" ht="16.5">
      <c r="A631" s="5" t="s">
        <v>4078</v>
      </c>
      <c r="B631" s="10" t="s">
        <v>4079</v>
      </c>
      <c r="C631" s="5" t="s">
        <v>625</v>
      </c>
      <c r="D631" s="5" t="s">
        <v>4080</v>
      </c>
      <c r="E631" s="5" t="s">
        <v>4081</v>
      </c>
      <c r="F631" s="5">
        <v>27</v>
      </c>
      <c r="G631" s="5">
        <v>162</v>
      </c>
    </row>
    <row r="632" spans="1:7" ht="16.5">
      <c r="A632" s="5" t="s">
        <v>4082</v>
      </c>
      <c r="B632" s="10" t="s">
        <v>4083</v>
      </c>
      <c r="C632" s="5" t="s">
        <v>626</v>
      </c>
      <c r="D632" s="5" t="s">
        <v>4084</v>
      </c>
      <c r="E632" s="5" t="s">
        <v>4001</v>
      </c>
      <c r="F632" s="5">
        <v>36</v>
      </c>
      <c r="G632" s="5">
        <v>216</v>
      </c>
    </row>
    <row r="633" spans="1:7" ht="16.5">
      <c r="A633" s="5" t="s">
        <v>4085</v>
      </c>
      <c r="B633" s="10" t="s">
        <v>4086</v>
      </c>
      <c r="C633" s="5" t="s">
        <v>627</v>
      </c>
      <c r="D633" s="5" t="s">
        <v>4087</v>
      </c>
      <c r="E633" s="5" t="s">
        <v>4001</v>
      </c>
      <c r="F633" s="5">
        <v>38</v>
      </c>
      <c r="G633" s="5">
        <v>228</v>
      </c>
    </row>
    <row r="634" spans="1:7" ht="16.5">
      <c r="A634" s="5" t="s">
        <v>4088</v>
      </c>
      <c r="B634" s="10" t="s">
        <v>4089</v>
      </c>
      <c r="C634" s="5" t="s">
        <v>628</v>
      </c>
      <c r="D634" s="5" t="s">
        <v>4090</v>
      </c>
      <c r="E634" s="5" t="s">
        <v>4001</v>
      </c>
      <c r="F634" s="5">
        <v>23</v>
      </c>
      <c r="G634" s="5">
        <v>138</v>
      </c>
    </row>
    <row r="635" spans="1:7" ht="16.5">
      <c r="A635" s="5" t="s">
        <v>4091</v>
      </c>
      <c r="B635" s="10" t="s">
        <v>4092</v>
      </c>
      <c r="C635" s="5" t="s">
        <v>629</v>
      </c>
      <c r="D635" s="5" t="s">
        <v>4093</v>
      </c>
      <c r="E635" s="5" t="s">
        <v>4001</v>
      </c>
      <c r="F635" s="5">
        <v>29</v>
      </c>
      <c r="G635" s="5">
        <v>174</v>
      </c>
    </row>
    <row r="636" spans="1:7" ht="16.5">
      <c r="A636" s="5" t="s">
        <v>4094</v>
      </c>
      <c r="B636" s="10" t="s">
        <v>4095</v>
      </c>
      <c r="C636" s="5" t="s">
        <v>630</v>
      </c>
      <c r="D636" s="5" t="s">
        <v>4096</v>
      </c>
      <c r="E636" s="5" t="s">
        <v>4097</v>
      </c>
      <c r="F636" s="5">
        <v>39.8</v>
      </c>
      <c r="G636" s="5">
        <v>239</v>
      </c>
    </row>
    <row r="637" spans="1:7" ht="16.5">
      <c r="A637" s="5" t="s">
        <v>4098</v>
      </c>
      <c r="B637" s="10" t="s">
        <v>4099</v>
      </c>
      <c r="C637" s="5" t="s">
        <v>631</v>
      </c>
      <c r="D637" s="5" t="s">
        <v>4100</v>
      </c>
      <c r="E637" s="5" t="s">
        <v>4101</v>
      </c>
      <c r="F637" s="5">
        <v>9.8</v>
      </c>
      <c r="G637" s="5">
        <v>59</v>
      </c>
    </row>
    <row r="638" spans="1:7" ht="16.5">
      <c r="A638" s="5" t="s">
        <v>4102</v>
      </c>
      <c r="B638" s="10" t="s">
        <v>4103</v>
      </c>
      <c r="C638" s="5" t="s">
        <v>632</v>
      </c>
      <c r="D638" s="5" t="s">
        <v>4104</v>
      </c>
      <c r="E638" s="5" t="s">
        <v>4101</v>
      </c>
      <c r="F638" s="5">
        <v>21</v>
      </c>
      <c r="G638" s="5">
        <v>126</v>
      </c>
    </row>
    <row r="639" spans="1:7" ht="16.5">
      <c r="A639" s="5" t="s">
        <v>4105</v>
      </c>
      <c r="B639" s="10" t="s">
        <v>4106</v>
      </c>
      <c r="C639" s="5" t="s">
        <v>633</v>
      </c>
      <c r="D639" s="5" t="s">
        <v>4107</v>
      </c>
      <c r="E639" s="5" t="s">
        <v>4101</v>
      </c>
      <c r="F639" s="5">
        <v>75</v>
      </c>
      <c r="G639" s="5">
        <v>450</v>
      </c>
    </row>
    <row r="640" spans="1:7" ht="16.5">
      <c r="A640" s="5" t="s">
        <v>4108</v>
      </c>
      <c r="B640" s="10" t="s">
        <v>4109</v>
      </c>
      <c r="C640" s="5" t="s">
        <v>634</v>
      </c>
      <c r="D640" s="5" t="s">
        <v>2323</v>
      </c>
      <c r="E640" s="5" t="s">
        <v>4101</v>
      </c>
      <c r="F640" s="5">
        <v>78</v>
      </c>
      <c r="G640" s="5">
        <v>468</v>
      </c>
    </row>
    <row r="641" spans="1:7" ht="16.5">
      <c r="A641" s="5" t="s">
        <v>4110</v>
      </c>
      <c r="B641" s="10" t="s">
        <v>4111</v>
      </c>
      <c r="C641" s="5" t="s">
        <v>635</v>
      </c>
      <c r="D641" s="5" t="s">
        <v>4112</v>
      </c>
      <c r="E641" s="5" t="s">
        <v>4101</v>
      </c>
      <c r="F641" s="5">
        <v>62</v>
      </c>
      <c r="G641" s="5">
        <v>372</v>
      </c>
    </row>
    <row r="642" spans="1:7" ht="16.5">
      <c r="A642" s="5" t="s">
        <v>4113</v>
      </c>
      <c r="B642" s="10" t="s">
        <v>4114</v>
      </c>
      <c r="C642" s="5" t="s">
        <v>636</v>
      </c>
      <c r="D642" s="5" t="s">
        <v>4115</v>
      </c>
      <c r="E642" s="5" t="s">
        <v>4101</v>
      </c>
      <c r="F642" s="5">
        <v>58</v>
      </c>
      <c r="G642" s="5">
        <v>348</v>
      </c>
    </row>
    <row r="643" spans="1:7" ht="16.5">
      <c r="A643" s="5" t="s">
        <v>4116</v>
      </c>
      <c r="B643" s="10" t="s">
        <v>4117</v>
      </c>
      <c r="C643" s="5" t="s">
        <v>637</v>
      </c>
      <c r="D643" s="5" t="s">
        <v>4118</v>
      </c>
      <c r="E643" s="5" t="s">
        <v>4101</v>
      </c>
      <c r="F643" s="5">
        <v>68</v>
      </c>
      <c r="G643" s="5">
        <v>408</v>
      </c>
    </row>
    <row r="644" spans="1:7" ht="16.5">
      <c r="A644" s="5" t="s">
        <v>4119</v>
      </c>
      <c r="B644" s="10" t="s">
        <v>4120</v>
      </c>
      <c r="C644" s="5" t="s">
        <v>638</v>
      </c>
      <c r="D644" s="5" t="s">
        <v>4121</v>
      </c>
      <c r="E644" s="5" t="s">
        <v>4101</v>
      </c>
      <c r="F644" s="5">
        <v>75</v>
      </c>
      <c r="G644" s="5">
        <v>450</v>
      </c>
    </row>
    <row r="645" spans="1:7" ht="16.5">
      <c r="A645" s="5" t="s">
        <v>4122</v>
      </c>
      <c r="B645" s="10" t="s">
        <v>4123</v>
      </c>
      <c r="C645" s="5" t="s">
        <v>639</v>
      </c>
      <c r="D645" s="5" t="s">
        <v>4124</v>
      </c>
      <c r="E645" s="5" t="s">
        <v>4101</v>
      </c>
      <c r="F645" s="5">
        <v>38.8</v>
      </c>
      <c r="G645" s="5">
        <v>233</v>
      </c>
    </row>
    <row r="646" spans="1:7" ht="16.5">
      <c r="A646" s="5" t="s">
        <v>4125</v>
      </c>
      <c r="B646" s="10" t="s">
        <v>4126</v>
      </c>
      <c r="C646" s="5" t="s">
        <v>640</v>
      </c>
      <c r="D646" s="5" t="s">
        <v>4127</v>
      </c>
      <c r="E646" s="5" t="s">
        <v>4128</v>
      </c>
      <c r="F646" s="5">
        <v>34.8</v>
      </c>
      <c r="G646" s="5">
        <v>209</v>
      </c>
    </row>
    <row r="647" spans="1:7" ht="16.5">
      <c r="A647" s="5" t="s">
        <v>4129</v>
      </c>
      <c r="B647" s="10" t="s">
        <v>4130</v>
      </c>
      <c r="C647" s="5" t="s">
        <v>641</v>
      </c>
      <c r="D647" s="5" t="s">
        <v>4131</v>
      </c>
      <c r="E647" s="5" t="s">
        <v>4128</v>
      </c>
      <c r="F647" s="5">
        <v>28</v>
      </c>
      <c r="G647" s="5">
        <v>168</v>
      </c>
    </row>
    <row r="648" spans="1:7" ht="16.5">
      <c r="A648" s="5" t="s">
        <v>4132</v>
      </c>
      <c r="B648" s="10" t="s">
        <v>4133</v>
      </c>
      <c r="C648" s="5" t="s">
        <v>642</v>
      </c>
      <c r="D648" s="5" t="s">
        <v>4134</v>
      </c>
      <c r="E648" s="5" t="s">
        <v>4128</v>
      </c>
      <c r="F648" s="5">
        <v>25</v>
      </c>
      <c r="G648" s="5">
        <v>150</v>
      </c>
    </row>
    <row r="649" spans="1:7" ht="16.5">
      <c r="A649" s="5" t="s">
        <v>4135</v>
      </c>
      <c r="B649" s="10" t="s">
        <v>4136</v>
      </c>
      <c r="C649" s="5" t="s">
        <v>643</v>
      </c>
      <c r="D649" s="5" t="s">
        <v>4137</v>
      </c>
      <c r="E649" s="5" t="s">
        <v>4128</v>
      </c>
      <c r="F649" s="5">
        <v>35</v>
      </c>
      <c r="G649" s="5">
        <v>210</v>
      </c>
    </row>
    <row r="650" spans="1:7" ht="16.5">
      <c r="A650" s="5" t="s">
        <v>4138</v>
      </c>
      <c r="B650" s="10" t="s">
        <v>4139</v>
      </c>
      <c r="C650" s="5" t="s">
        <v>644</v>
      </c>
      <c r="D650" s="5" t="s">
        <v>4140</v>
      </c>
      <c r="E650" s="5" t="s">
        <v>4141</v>
      </c>
      <c r="F650" s="5">
        <v>13</v>
      </c>
      <c r="G650" s="5">
        <v>78</v>
      </c>
    </row>
    <row r="651" spans="1:7" ht="16.5">
      <c r="A651" s="5" t="s">
        <v>4142</v>
      </c>
      <c r="B651" s="10" t="s">
        <v>4143</v>
      </c>
      <c r="C651" s="5" t="s">
        <v>645</v>
      </c>
      <c r="D651" s="5" t="s">
        <v>4144</v>
      </c>
      <c r="E651" s="5" t="s">
        <v>4145</v>
      </c>
      <c r="F651" s="5"/>
      <c r="G651" s="5">
        <v>75</v>
      </c>
    </row>
    <row r="652" spans="1:7" ht="16.5">
      <c r="A652" s="5" t="s">
        <v>4146</v>
      </c>
      <c r="B652" s="10" t="s">
        <v>4147</v>
      </c>
      <c r="C652" s="5" t="s">
        <v>646</v>
      </c>
      <c r="D652" s="5" t="s">
        <v>4148</v>
      </c>
      <c r="E652" s="5" t="s">
        <v>4145</v>
      </c>
      <c r="F652" s="5"/>
      <c r="G652" s="5">
        <v>75</v>
      </c>
    </row>
    <row r="653" spans="1:7" ht="16.5">
      <c r="A653" s="5" t="s">
        <v>4149</v>
      </c>
      <c r="B653" s="10" t="s">
        <v>4150</v>
      </c>
      <c r="C653" s="5" t="s">
        <v>647</v>
      </c>
      <c r="D653" s="5" t="s">
        <v>4151</v>
      </c>
      <c r="E653" s="5" t="s">
        <v>4145</v>
      </c>
      <c r="F653" s="5"/>
      <c r="G653" s="5">
        <v>75</v>
      </c>
    </row>
    <row r="654" spans="1:7" ht="16.5">
      <c r="A654" s="5" t="s">
        <v>4152</v>
      </c>
      <c r="B654" s="10" t="s">
        <v>4153</v>
      </c>
      <c r="C654" s="5" t="s">
        <v>648</v>
      </c>
      <c r="D654" s="5" t="s">
        <v>4154</v>
      </c>
      <c r="E654" s="5" t="s">
        <v>4145</v>
      </c>
      <c r="F654" s="5"/>
      <c r="G654" s="5">
        <v>75</v>
      </c>
    </row>
    <row r="655" spans="1:7" ht="16.5">
      <c r="A655" s="5" t="s">
        <v>4155</v>
      </c>
      <c r="B655" s="10" t="s">
        <v>4156</v>
      </c>
      <c r="C655" s="5" t="s">
        <v>649</v>
      </c>
      <c r="D655" s="5" t="s">
        <v>2899</v>
      </c>
      <c r="E655" s="5" t="s">
        <v>4145</v>
      </c>
      <c r="F655" s="5"/>
      <c r="G655" s="5">
        <v>75</v>
      </c>
    </row>
    <row r="656" spans="1:7" ht="16.5">
      <c r="A656" s="5" t="s">
        <v>4157</v>
      </c>
      <c r="B656" s="10" t="s">
        <v>4158</v>
      </c>
      <c r="C656" s="5" t="s">
        <v>650</v>
      </c>
      <c r="D656" s="5" t="s">
        <v>2899</v>
      </c>
      <c r="E656" s="5" t="s">
        <v>4145</v>
      </c>
      <c r="F656" s="5"/>
      <c r="G656" s="5">
        <v>75</v>
      </c>
    </row>
    <row r="657" spans="1:7" ht="16.5">
      <c r="A657" s="5" t="s">
        <v>4159</v>
      </c>
      <c r="B657" s="10" t="s">
        <v>4160</v>
      </c>
      <c r="C657" s="5" t="s">
        <v>651</v>
      </c>
      <c r="D657" s="5" t="s">
        <v>2899</v>
      </c>
      <c r="E657" s="5" t="s">
        <v>4145</v>
      </c>
      <c r="F657" s="5"/>
      <c r="G657" s="5">
        <v>75</v>
      </c>
    </row>
    <row r="658" spans="1:7" ht="16.5">
      <c r="A658" s="5" t="s">
        <v>4161</v>
      </c>
      <c r="B658" s="10" t="s">
        <v>4162</v>
      </c>
      <c r="C658" s="5" t="s">
        <v>652</v>
      </c>
      <c r="D658" s="5" t="s">
        <v>2899</v>
      </c>
      <c r="E658" s="5" t="s">
        <v>4145</v>
      </c>
      <c r="F658" s="5"/>
      <c r="G658" s="5">
        <v>75</v>
      </c>
    </row>
    <row r="659" spans="1:7" ht="16.5">
      <c r="A659" s="5" t="s">
        <v>4163</v>
      </c>
      <c r="B659" s="10" t="s">
        <v>4164</v>
      </c>
      <c r="C659" s="5" t="s">
        <v>653</v>
      </c>
      <c r="D659" s="5" t="s">
        <v>4165</v>
      </c>
      <c r="E659" s="5" t="s">
        <v>4145</v>
      </c>
      <c r="F659" s="5"/>
      <c r="G659" s="5">
        <v>75</v>
      </c>
    </row>
    <row r="660" spans="1:7" ht="16.5">
      <c r="A660" s="5" t="s">
        <v>4166</v>
      </c>
      <c r="B660" s="10" t="s">
        <v>4167</v>
      </c>
      <c r="C660" s="5" t="s">
        <v>654</v>
      </c>
      <c r="D660" s="5" t="s">
        <v>4168</v>
      </c>
      <c r="E660" s="5" t="s">
        <v>4145</v>
      </c>
      <c r="F660" s="5"/>
      <c r="G660" s="5">
        <v>75</v>
      </c>
    </row>
    <row r="661" spans="1:7" ht="16.5">
      <c r="A661" s="5" t="s">
        <v>4169</v>
      </c>
      <c r="B661" s="10" t="s">
        <v>4170</v>
      </c>
      <c r="C661" s="5" t="s">
        <v>655</v>
      </c>
      <c r="D661" s="5" t="s">
        <v>2899</v>
      </c>
      <c r="E661" s="5" t="s">
        <v>4145</v>
      </c>
      <c r="F661" s="5"/>
      <c r="G661" s="5">
        <v>75</v>
      </c>
    </row>
    <row r="662" spans="1:7" ht="16.5">
      <c r="A662" s="5" t="s">
        <v>4171</v>
      </c>
      <c r="B662" s="10" t="s">
        <v>4172</v>
      </c>
      <c r="C662" s="5" t="s">
        <v>656</v>
      </c>
      <c r="D662" s="5" t="s">
        <v>4173</v>
      </c>
      <c r="E662" s="5" t="s">
        <v>4145</v>
      </c>
      <c r="F662" s="5"/>
      <c r="G662" s="5">
        <v>90</v>
      </c>
    </row>
    <row r="663" spans="1:7" ht="16.5">
      <c r="A663" s="5" t="s">
        <v>4174</v>
      </c>
      <c r="B663" s="10" t="s">
        <v>4175</v>
      </c>
      <c r="C663" s="5" t="s">
        <v>657</v>
      </c>
      <c r="D663" s="5" t="s">
        <v>2899</v>
      </c>
      <c r="E663" s="5" t="s">
        <v>4145</v>
      </c>
      <c r="F663" s="5"/>
      <c r="G663" s="5">
        <v>75</v>
      </c>
    </row>
    <row r="664" spans="1:7" ht="16.5">
      <c r="A664" s="5" t="s">
        <v>4176</v>
      </c>
      <c r="B664" s="10" t="s">
        <v>4177</v>
      </c>
      <c r="C664" s="5" t="s">
        <v>658</v>
      </c>
      <c r="D664" s="5" t="s">
        <v>2899</v>
      </c>
      <c r="E664" s="5" t="s">
        <v>4145</v>
      </c>
      <c r="F664" s="5"/>
      <c r="G664" s="5">
        <v>75</v>
      </c>
    </row>
    <row r="665" spans="1:7" ht="16.5">
      <c r="A665" s="5" t="s">
        <v>4178</v>
      </c>
      <c r="B665" s="10" t="s">
        <v>4179</v>
      </c>
      <c r="C665" s="5" t="s">
        <v>659</v>
      </c>
      <c r="D665" s="5" t="s">
        <v>2899</v>
      </c>
      <c r="E665" s="5" t="s">
        <v>4145</v>
      </c>
      <c r="F665" s="5">
        <v>400</v>
      </c>
      <c r="G665" s="5">
        <v>2400</v>
      </c>
    </row>
    <row r="666" spans="1:7" ht="16.5">
      <c r="A666" s="5" t="s">
        <v>4180</v>
      </c>
      <c r="B666" s="10" t="s">
        <v>4181</v>
      </c>
      <c r="C666" s="5" t="s">
        <v>660</v>
      </c>
      <c r="D666" s="5" t="s">
        <v>2899</v>
      </c>
      <c r="E666" s="5" t="s">
        <v>4145</v>
      </c>
      <c r="F666" s="5"/>
      <c r="G666" s="5">
        <v>75</v>
      </c>
    </row>
    <row r="667" spans="1:7" ht="16.5">
      <c r="A667" s="5" t="s">
        <v>4182</v>
      </c>
      <c r="B667" s="10" t="s">
        <v>4183</v>
      </c>
      <c r="C667" s="5" t="s">
        <v>661</v>
      </c>
      <c r="D667" s="5" t="s">
        <v>2899</v>
      </c>
      <c r="E667" s="5" t="s">
        <v>4145</v>
      </c>
      <c r="F667" s="5"/>
      <c r="G667" s="5">
        <v>75</v>
      </c>
    </row>
    <row r="668" spans="1:7" ht="16.5">
      <c r="A668" s="5" t="s">
        <v>4184</v>
      </c>
      <c r="B668" s="10" t="s">
        <v>4185</v>
      </c>
      <c r="C668" s="5" t="s">
        <v>662</v>
      </c>
      <c r="D668" s="5" t="s">
        <v>2899</v>
      </c>
      <c r="E668" s="5" t="s">
        <v>4145</v>
      </c>
      <c r="F668" s="5"/>
      <c r="G668" s="5">
        <v>90</v>
      </c>
    </row>
    <row r="669" spans="1:7" ht="16.5">
      <c r="A669" s="5" t="s">
        <v>4186</v>
      </c>
      <c r="B669" s="10" t="s">
        <v>4187</v>
      </c>
      <c r="C669" s="5" t="s">
        <v>663</v>
      </c>
      <c r="D669" s="5" t="s">
        <v>2899</v>
      </c>
      <c r="E669" s="5" t="s">
        <v>4145</v>
      </c>
      <c r="F669" s="5"/>
      <c r="G669" s="5">
        <v>90</v>
      </c>
    </row>
    <row r="670" spans="1:7" ht="16.5">
      <c r="A670" s="5" t="s">
        <v>4188</v>
      </c>
      <c r="B670" s="10" t="s">
        <v>4189</v>
      </c>
      <c r="C670" s="5" t="s">
        <v>664</v>
      </c>
      <c r="D670" s="5" t="s">
        <v>4190</v>
      </c>
      <c r="E670" s="5" t="s">
        <v>4145</v>
      </c>
      <c r="F670" s="5"/>
      <c r="G670" s="5">
        <v>290</v>
      </c>
    </row>
    <row r="671" spans="1:7" ht="16.5">
      <c r="A671" s="5" t="s">
        <v>4191</v>
      </c>
      <c r="B671" s="10" t="s">
        <v>4192</v>
      </c>
      <c r="C671" s="5" t="s">
        <v>665</v>
      </c>
      <c r="D671" s="5" t="s">
        <v>4193</v>
      </c>
      <c r="E671" s="5" t="s">
        <v>4145</v>
      </c>
      <c r="F671" s="5">
        <v>85</v>
      </c>
      <c r="G671" s="5">
        <v>510</v>
      </c>
    </row>
    <row r="672" spans="1:7" ht="16.5">
      <c r="A672" s="5" t="s">
        <v>4194</v>
      </c>
      <c r="B672" s="10" t="s">
        <v>4195</v>
      </c>
      <c r="C672" s="5" t="s">
        <v>666</v>
      </c>
      <c r="D672" s="5" t="s">
        <v>4196</v>
      </c>
      <c r="E672" s="5" t="s">
        <v>4145</v>
      </c>
      <c r="F672" s="5">
        <v>68</v>
      </c>
      <c r="G672" s="5">
        <v>408</v>
      </c>
    </row>
    <row r="673" spans="1:7" ht="16.5">
      <c r="A673" s="5" t="s">
        <v>4197</v>
      </c>
      <c r="B673" s="10" t="s">
        <v>4198</v>
      </c>
      <c r="C673" s="5" t="s">
        <v>667</v>
      </c>
      <c r="D673" s="5" t="s">
        <v>4199</v>
      </c>
      <c r="E673" s="5" t="s">
        <v>4145</v>
      </c>
      <c r="F673" s="5">
        <v>150</v>
      </c>
      <c r="G673" s="5">
        <v>900</v>
      </c>
    </row>
    <row r="674" spans="1:7" ht="16.5">
      <c r="A674" s="5" t="s">
        <v>4200</v>
      </c>
      <c r="B674" s="10" t="s">
        <v>4201</v>
      </c>
      <c r="C674" s="5" t="s">
        <v>668</v>
      </c>
      <c r="D674" s="5" t="s">
        <v>4202</v>
      </c>
      <c r="E674" s="5" t="s">
        <v>4145</v>
      </c>
      <c r="F674" s="5">
        <v>198</v>
      </c>
      <c r="G674" s="5">
        <v>1188</v>
      </c>
    </row>
    <row r="675" spans="1:7" ht="16.5">
      <c r="A675" s="5" t="s">
        <v>4203</v>
      </c>
      <c r="B675" s="10" t="s">
        <v>4204</v>
      </c>
      <c r="C675" s="5" t="s">
        <v>669</v>
      </c>
      <c r="D675" s="5" t="s">
        <v>4205</v>
      </c>
      <c r="E675" s="5" t="s">
        <v>4145</v>
      </c>
      <c r="F675" s="5">
        <v>58</v>
      </c>
      <c r="G675" s="5">
        <v>348</v>
      </c>
    </row>
    <row r="676" spans="1:7" ht="16.5">
      <c r="A676" s="5" t="s">
        <v>4206</v>
      </c>
      <c r="B676" s="10" t="s">
        <v>4207</v>
      </c>
      <c r="C676" s="5" t="s">
        <v>670</v>
      </c>
      <c r="D676" s="5" t="s">
        <v>4208</v>
      </c>
      <c r="E676" s="5" t="s">
        <v>4145</v>
      </c>
      <c r="F676" s="5">
        <v>388</v>
      </c>
      <c r="G676" s="5">
        <v>2328</v>
      </c>
    </row>
    <row r="677" spans="1:7" ht="16.5">
      <c r="A677" s="5" t="s">
        <v>4209</v>
      </c>
      <c r="B677" s="10" t="s">
        <v>4210</v>
      </c>
      <c r="C677" s="5" t="s">
        <v>671</v>
      </c>
      <c r="D677" s="5" t="s">
        <v>4211</v>
      </c>
      <c r="E677" s="5" t="s">
        <v>4145</v>
      </c>
      <c r="F677" s="5">
        <v>160</v>
      </c>
      <c r="G677" s="5">
        <v>960</v>
      </c>
    </row>
    <row r="678" spans="1:7" ht="16.5">
      <c r="A678" s="5" t="s">
        <v>4212</v>
      </c>
      <c r="B678" s="10" t="s">
        <v>4213</v>
      </c>
      <c r="C678" s="5" t="s">
        <v>672</v>
      </c>
      <c r="D678" s="5" t="s">
        <v>4214</v>
      </c>
      <c r="E678" s="5" t="s">
        <v>4145</v>
      </c>
      <c r="F678" s="5">
        <v>150</v>
      </c>
      <c r="G678" s="5">
        <v>900</v>
      </c>
    </row>
    <row r="679" spans="1:7" ht="16.5">
      <c r="A679" s="5" t="s">
        <v>4215</v>
      </c>
      <c r="B679" s="10" t="s">
        <v>4216</v>
      </c>
      <c r="C679" s="5" t="s">
        <v>673</v>
      </c>
      <c r="D679" s="5" t="s">
        <v>4217</v>
      </c>
      <c r="E679" s="5" t="s">
        <v>4145</v>
      </c>
      <c r="F679" s="5">
        <v>68</v>
      </c>
      <c r="G679" s="5">
        <v>408</v>
      </c>
    </row>
    <row r="680" spans="1:7" ht="16.5">
      <c r="A680" s="5" t="s">
        <v>4218</v>
      </c>
      <c r="B680" s="10" t="s">
        <v>4219</v>
      </c>
      <c r="C680" s="5" t="s">
        <v>674</v>
      </c>
      <c r="D680" s="5" t="s">
        <v>2899</v>
      </c>
      <c r="E680" s="5" t="s">
        <v>4145</v>
      </c>
      <c r="F680" s="5">
        <v>52</v>
      </c>
      <c r="G680" s="5">
        <v>312</v>
      </c>
    </row>
    <row r="681" spans="1:7" ht="16.5">
      <c r="A681" s="5" t="s">
        <v>4220</v>
      </c>
      <c r="B681" s="10" t="s">
        <v>4221</v>
      </c>
      <c r="C681" s="5" t="s">
        <v>675</v>
      </c>
      <c r="D681" s="5" t="s">
        <v>2583</v>
      </c>
      <c r="E681" s="5" t="s">
        <v>4145</v>
      </c>
      <c r="F681" s="5">
        <v>150</v>
      </c>
      <c r="G681" s="5">
        <v>900</v>
      </c>
    </row>
    <row r="682" spans="1:7" ht="16.5">
      <c r="A682" s="5" t="s">
        <v>4222</v>
      </c>
      <c r="B682" s="10" t="s">
        <v>4223</v>
      </c>
      <c r="C682" s="5" t="s">
        <v>676</v>
      </c>
      <c r="D682" s="5" t="s">
        <v>4224</v>
      </c>
      <c r="E682" s="5" t="s">
        <v>4145</v>
      </c>
      <c r="F682" s="5">
        <v>36</v>
      </c>
      <c r="G682" s="5">
        <v>216</v>
      </c>
    </row>
    <row r="683" spans="1:7" ht="16.5">
      <c r="A683" s="5" t="s">
        <v>4225</v>
      </c>
      <c r="B683" s="10" t="s">
        <v>4226</v>
      </c>
      <c r="C683" s="5" t="s">
        <v>677</v>
      </c>
      <c r="D683" s="5" t="s">
        <v>4227</v>
      </c>
      <c r="E683" s="5" t="s">
        <v>4145</v>
      </c>
      <c r="F683" s="5">
        <v>58</v>
      </c>
      <c r="G683" s="5">
        <v>348</v>
      </c>
    </row>
    <row r="684" spans="1:7" ht="16.5">
      <c r="A684" s="5" t="s">
        <v>4228</v>
      </c>
      <c r="B684" s="10" t="s">
        <v>4229</v>
      </c>
      <c r="C684" s="5" t="s">
        <v>678</v>
      </c>
      <c r="D684" s="5" t="s">
        <v>4230</v>
      </c>
      <c r="E684" s="5" t="s">
        <v>4145</v>
      </c>
      <c r="F684" s="5">
        <v>360</v>
      </c>
      <c r="G684" s="5">
        <v>2160</v>
      </c>
    </row>
    <row r="685" spans="1:7" ht="16.5">
      <c r="A685" s="5" t="s">
        <v>4231</v>
      </c>
      <c r="B685" s="10" t="s">
        <v>4232</v>
      </c>
      <c r="C685" s="5" t="s">
        <v>679</v>
      </c>
      <c r="D685" s="5" t="s">
        <v>4230</v>
      </c>
      <c r="E685" s="5" t="s">
        <v>4145</v>
      </c>
      <c r="F685" s="5">
        <v>80</v>
      </c>
      <c r="G685" s="5">
        <v>480</v>
      </c>
    </row>
    <row r="686" spans="1:7" ht="16.5">
      <c r="A686" s="5" t="s">
        <v>4233</v>
      </c>
      <c r="B686" s="10" t="s">
        <v>4234</v>
      </c>
      <c r="C686" s="5" t="s">
        <v>680</v>
      </c>
      <c r="D686" s="5" t="s">
        <v>4199</v>
      </c>
      <c r="E686" s="5" t="s">
        <v>4145</v>
      </c>
      <c r="F686" s="5">
        <v>180</v>
      </c>
      <c r="G686" s="5">
        <v>1080</v>
      </c>
    </row>
    <row r="687" spans="1:7" ht="16.5">
      <c r="A687" s="5" t="s">
        <v>4235</v>
      </c>
      <c r="B687" s="10" t="s">
        <v>4236</v>
      </c>
      <c r="C687" s="5" t="s">
        <v>681</v>
      </c>
      <c r="D687" s="5" t="s">
        <v>4237</v>
      </c>
      <c r="E687" s="5" t="s">
        <v>4145</v>
      </c>
      <c r="F687" s="5">
        <v>32</v>
      </c>
      <c r="G687" s="5">
        <v>192</v>
      </c>
    </row>
    <row r="688" spans="1:7" ht="16.5">
      <c r="A688" s="5" t="s">
        <v>4238</v>
      </c>
      <c r="B688" s="10" t="s">
        <v>4239</v>
      </c>
      <c r="C688" s="5" t="s">
        <v>682</v>
      </c>
      <c r="D688" s="5" t="s">
        <v>4240</v>
      </c>
      <c r="E688" s="5" t="s">
        <v>4241</v>
      </c>
      <c r="F688" s="5">
        <v>39.8</v>
      </c>
      <c r="G688" s="5">
        <v>239</v>
      </c>
    </row>
    <row r="689" spans="1:7" ht="16.5">
      <c r="A689" s="5" t="s">
        <v>4242</v>
      </c>
      <c r="B689" s="10" t="s">
        <v>4243</v>
      </c>
      <c r="C689" s="5" t="s">
        <v>683</v>
      </c>
      <c r="D689" s="5" t="s">
        <v>4244</v>
      </c>
      <c r="E689" s="5" t="s">
        <v>4241</v>
      </c>
      <c r="F689" s="5">
        <v>28</v>
      </c>
      <c r="G689" s="5">
        <v>168</v>
      </c>
    </row>
    <row r="690" spans="1:7" ht="16.5">
      <c r="A690" s="5" t="s">
        <v>4245</v>
      </c>
      <c r="B690" s="10" t="s">
        <v>4246</v>
      </c>
      <c r="C690" s="5" t="s">
        <v>684</v>
      </c>
      <c r="D690" s="5" t="s">
        <v>2337</v>
      </c>
      <c r="E690" s="5" t="s">
        <v>4241</v>
      </c>
      <c r="F690" s="5">
        <v>28.8</v>
      </c>
      <c r="G690" s="5">
        <v>173</v>
      </c>
    </row>
    <row r="691" spans="1:7" ht="16.5">
      <c r="A691" s="5" t="s">
        <v>4247</v>
      </c>
      <c r="B691" s="10" t="s">
        <v>4248</v>
      </c>
      <c r="C691" s="5" t="s">
        <v>685</v>
      </c>
      <c r="D691" s="5" t="s">
        <v>4249</v>
      </c>
      <c r="E691" s="5" t="s">
        <v>4241</v>
      </c>
      <c r="F691" s="5">
        <v>52.8</v>
      </c>
      <c r="G691" s="5">
        <v>317</v>
      </c>
    </row>
    <row r="692" spans="1:7" ht="16.5">
      <c r="A692" s="5" t="s">
        <v>4250</v>
      </c>
      <c r="B692" s="10" t="s">
        <v>4251</v>
      </c>
      <c r="C692" s="5" t="s">
        <v>686</v>
      </c>
      <c r="D692" s="5" t="s">
        <v>4252</v>
      </c>
      <c r="E692" s="5" t="s">
        <v>4253</v>
      </c>
      <c r="F692" s="5">
        <v>29</v>
      </c>
      <c r="G692" s="5">
        <v>174</v>
      </c>
    </row>
    <row r="693" spans="1:7" ht="16.5">
      <c r="A693" s="5" t="s">
        <v>4254</v>
      </c>
      <c r="B693" s="10" t="s">
        <v>4255</v>
      </c>
      <c r="C693" s="5" t="s">
        <v>687</v>
      </c>
      <c r="D693" s="5" t="s">
        <v>2659</v>
      </c>
      <c r="E693" s="5" t="s">
        <v>4253</v>
      </c>
      <c r="F693" s="5">
        <v>28</v>
      </c>
      <c r="G693" s="5">
        <v>168</v>
      </c>
    </row>
    <row r="694" spans="1:7" ht="16.5">
      <c r="A694" s="5" t="s">
        <v>4256</v>
      </c>
      <c r="B694" s="10" t="s">
        <v>2236</v>
      </c>
      <c r="C694" s="5" t="s">
        <v>688</v>
      </c>
      <c r="D694" s="5" t="s">
        <v>4257</v>
      </c>
      <c r="E694" s="5" t="s">
        <v>4258</v>
      </c>
      <c r="F694" s="5">
        <v>50</v>
      </c>
      <c r="G694" s="5">
        <v>300</v>
      </c>
    </row>
    <row r="695" spans="1:7" ht="16.5">
      <c r="A695" s="5" t="s">
        <v>4259</v>
      </c>
      <c r="B695" s="10" t="s">
        <v>4260</v>
      </c>
      <c r="C695" s="5" t="s">
        <v>689</v>
      </c>
      <c r="D695" s="5" t="s">
        <v>4261</v>
      </c>
      <c r="E695" s="5" t="s">
        <v>4258</v>
      </c>
      <c r="F695" s="5">
        <v>290</v>
      </c>
      <c r="G695" s="5">
        <v>1740</v>
      </c>
    </row>
    <row r="696" spans="1:7" ht="16.5">
      <c r="A696" s="5" t="s">
        <v>4262</v>
      </c>
      <c r="B696" s="10" t="s">
        <v>4263</v>
      </c>
      <c r="C696" s="5" t="s">
        <v>690</v>
      </c>
      <c r="D696" s="5" t="s">
        <v>4264</v>
      </c>
      <c r="E696" s="5" t="s">
        <v>4258</v>
      </c>
      <c r="F696" s="5">
        <v>580</v>
      </c>
      <c r="G696" s="5">
        <v>3480</v>
      </c>
    </row>
    <row r="697" spans="1:7" ht="16.5">
      <c r="A697" s="5" t="s">
        <v>4265</v>
      </c>
      <c r="B697" s="10" t="s">
        <v>4266</v>
      </c>
      <c r="C697" s="5" t="s">
        <v>691</v>
      </c>
      <c r="D697" s="5" t="s">
        <v>2337</v>
      </c>
      <c r="E697" s="5" t="s">
        <v>4258</v>
      </c>
      <c r="F697" s="5">
        <v>380</v>
      </c>
      <c r="G697" s="5">
        <v>2280</v>
      </c>
    </row>
    <row r="698" spans="1:7" ht="16.5">
      <c r="A698" s="5" t="s">
        <v>4267</v>
      </c>
      <c r="B698" s="10" t="s">
        <v>4268</v>
      </c>
      <c r="C698" s="5" t="s">
        <v>692</v>
      </c>
      <c r="D698" s="5" t="s">
        <v>4269</v>
      </c>
      <c r="E698" s="5" t="s">
        <v>4258</v>
      </c>
      <c r="F698" s="5">
        <v>30</v>
      </c>
      <c r="G698" s="5">
        <v>180</v>
      </c>
    </row>
    <row r="699" spans="1:7" ht="16.5">
      <c r="A699" s="5" t="s">
        <v>4270</v>
      </c>
      <c r="B699" s="10" t="s">
        <v>4271</v>
      </c>
      <c r="C699" s="5" t="s">
        <v>693</v>
      </c>
      <c r="D699" s="5" t="s">
        <v>2337</v>
      </c>
      <c r="E699" s="5" t="s">
        <v>4258</v>
      </c>
      <c r="F699" s="5">
        <v>120</v>
      </c>
      <c r="G699" s="5">
        <v>720</v>
      </c>
    </row>
    <row r="700" spans="1:7" ht="16.5">
      <c r="A700" s="5" t="s">
        <v>4272</v>
      </c>
      <c r="B700" s="10" t="s">
        <v>4273</v>
      </c>
      <c r="C700" s="5" t="s">
        <v>694</v>
      </c>
      <c r="D700" s="5" t="s">
        <v>4274</v>
      </c>
      <c r="E700" s="5" t="s">
        <v>4258</v>
      </c>
      <c r="F700" s="5">
        <v>25</v>
      </c>
      <c r="G700" s="5">
        <v>150</v>
      </c>
    </row>
    <row r="701" spans="1:7" ht="16.5">
      <c r="A701" s="5" t="s">
        <v>4275</v>
      </c>
      <c r="B701" s="10" t="s">
        <v>4276</v>
      </c>
      <c r="C701" s="5" t="s">
        <v>695</v>
      </c>
      <c r="D701" s="5" t="s">
        <v>4277</v>
      </c>
      <c r="E701" s="5" t="s">
        <v>4258</v>
      </c>
      <c r="F701" s="5">
        <v>25</v>
      </c>
      <c r="G701" s="5">
        <v>150</v>
      </c>
    </row>
    <row r="702" spans="1:7" ht="16.5">
      <c r="A702" s="5" t="s">
        <v>4278</v>
      </c>
      <c r="B702" s="10" t="s">
        <v>4279</v>
      </c>
      <c r="C702" s="5" t="s">
        <v>696</v>
      </c>
      <c r="D702" s="5" t="s">
        <v>4280</v>
      </c>
      <c r="E702" s="5" t="s">
        <v>4258</v>
      </c>
      <c r="F702" s="5">
        <v>16</v>
      </c>
      <c r="G702" s="5">
        <v>96</v>
      </c>
    </row>
    <row r="703" spans="1:7" ht="16.5">
      <c r="A703" s="5" t="s">
        <v>4281</v>
      </c>
      <c r="B703" s="10" t="s">
        <v>4282</v>
      </c>
      <c r="C703" s="5" t="s">
        <v>697</v>
      </c>
      <c r="D703" s="5" t="s">
        <v>2337</v>
      </c>
      <c r="E703" s="5" t="s">
        <v>4258</v>
      </c>
      <c r="F703" s="5">
        <v>90</v>
      </c>
      <c r="G703" s="5">
        <v>540</v>
      </c>
    </row>
    <row r="704" spans="1:7" ht="16.5">
      <c r="A704" s="5" t="s">
        <v>4283</v>
      </c>
      <c r="B704" s="10" t="s">
        <v>4284</v>
      </c>
      <c r="C704" s="5" t="s">
        <v>698</v>
      </c>
      <c r="D704" s="5" t="s">
        <v>4285</v>
      </c>
      <c r="E704" s="5" t="s">
        <v>4258</v>
      </c>
      <c r="F704" s="5">
        <v>25</v>
      </c>
      <c r="G704" s="5">
        <v>150</v>
      </c>
    </row>
    <row r="705" spans="1:7" ht="16.5">
      <c r="A705" s="5" t="s">
        <v>4286</v>
      </c>
      <c r="B705" s="10" t="s">
        <v>4287</v>
      </c>
      <c r="C705" s="5" t="s">
        <v>699</v>
      </c>
      <c r="D705" s="5" t="s">
        <v>4288</v>
      </c>
      <c r="E705" s="5" t="s">
        <v>2236</v>
      </c>
      <c r="F705" s="5"/>
      <c r="G705" s="5">
        <v>125</v>
      </c>
    </row>
    <row r="706" spans="1:7" ht="16.5">
      <c r="A706" s="5" t="s">
        <v>4289</v>
      </c>
      <c r="B706" s="10" t="s">
        <v>4290</v>
      </c>
      <c r="C706" s="5" t="s">
        <v>700</v>
      </c>
      <c r="D706" s="5" t="s">
        <v>4291</v>
      </c>
      <c r="E706" s="5" t="s">
        <v>4258</v>
      </c>
      <c r="F706" s="5">
        <v>20</v>
      </c>
      <c r="G706" s="5">
        <v>120</v>
      </c>
    </row>
    <row r="707" spans="1:7" ht="16.5">
      <c r="A707" s="5" t="s">
        <v>4292</v>
      </c>
      <c r="B707" s="10" t="s">
        <v>4293</v>
      </c>
      <c r="C707" s="5" t="s">
        <v>701</v>
      </c>
      <c r="D707" s="5" t="s">
        <v>4291</v>
      </c>
      <c r="E707" s="5" t="s">
        <v>4258</v>
      </c>
      <c r="F707" s="5">
        <v>20</v>
      </c>
      <c r="G707" s="5">
        <v>120</v>
      </c>
    </row>
    <row r="708" spans="1:7" ht="16.5">
      <c r="A708" s="5" t="s">
        <v>4294</v>
      </c>
      <c r="B708" s="10" t="s">
        <v>4295</v>
      </c>
      <c r="C708" s="5" t="s">
        <v>702</v>
      </c>
      <c r="D708" s="5" t="s">
        <v>4291</v>
      </c>
      <c r="E708" s="5" t="s">
        <v>4258</v>
      </c>
      <c r="F708" s="5">
        <v>20</v>
      </c>
      <c r="G708" s="5">
        <v>120</v>
      </c>
    </row>
    <row r="709" spans="1:7" ht="16.5">
      <c r="A709" s="5" t="s">
        <v>4296</v>
      </c>
      <c r="B709" s="10" t="s">
        <v>4297</v>
      </c>
      <c r="C709" s="5" t="s">
        <v>703</v>
      </c>
      <c r="D709" s="5" t="s">
        <v>4291</v>
      </c>
      <c r="E709" s="5" t="s">
        <v>4258</v>
      </c>
      <c r="F709" s="5">
        <v>20</v>
      </c>
      <c r="G709" s="5">
        <v>120</v>
      </c>
    </row>
    <row r="710" spans="1:7" ht="16.5">
      <c r="A710" s="5" t="s">
        <v>4298</v>
      </c>
      <c r="B710" s="10" t="s">
        <v>4299</v>
      </c>
      <c r="C710" s="5" t="s">
        <v>704</v>
      </c>
      <c r="D710" s="5" t="s">
        <v>2337</v>
      </c>
      <c r="E710" s="5" t="s">
        <v>4258</v>
      </c>
      <c r="F710" s="5">
        <v>70</v>
      </c>
      <c r="G710" s="5">
        <v>420</v>
      </c>
    </row>
    <row r="711" spans="1:7" ht="16.5">
      <c r="A711" s="5" t="s">
        <v>4300</v>
      </c>
      <c r="B711" s="10" t="s">
        <v>4301</v>
      </c>
      <c r="C711" s="5" t="s">
        <v>705</v>
      </c>
      <c r="D711" s="5" t="s">
        <v>4291</v>
      </c>
      <c r="E711" s="5" t="s">
        <v>4258</v>
      </c>
      <c r="F711" s="5">
        <v>20</v>
      </c>
      <c r="G711" s="5">
        <v>120</v>
      </c>
    </row>
    <row r="712" spans="1:7" ht="16.5">
      <c r="A712" s="5" t="s">
        <v>4302</v>
      </c>
      <c r="B712" s="10" t="s">
        <v>4303</v>
      </c>
      <c r="C712" s="5" t="s">
        <v>706</v>
      </c>
      <c r="D712" s="5" t="s">
        <v>2337</v>
      </c>
      <c r="E712" s="5" t="s">
        <v>4258</v>
      </c>
      <c r="F712" s="5">
        <v>120</v>
      </c>
      <c r="G712" s="5">
        <v>720</v>
      </c>
    </row>
    <row r="713" spans="1:7" ht="16.5">
      <c r="A713" s="5" t="s">
        <v>4304</v>
      </c>
      <c r="B713" s="10" t="s">
        <v>4305</v>
      </c>
      <c r="C713" s="5" t="s">
        <v>707</v>
      </c>
      <c r="D713" s="5" t="s">
        <v>4306</v>
      </c>
      <c r="E713" s="5" t="s">
        <v>4258</v>
      </c>
      <c r="F713" s="5">
        <v>960</v>
      </c>
      <c r="G713" s="5">
        <v>5760</v>
      </c>
    </row>
    <row r="714" spans="1:7" ht="16.5">
      <c r="A714" s="5" t="s">
        <v>4307</v>
      </c>
      <c r="B714" s="10" t="s">
        <v>4308</v>
      </c>
      <c r="C714" s="5" t="s">
        <v>708</v>
      </c>
      <c r="D714" s="5" t="s">
        <v>4309</v>
      </c>
      <c r="E714" s="5" t="s">
        <v>4258</v>
      </c>
      <c r="F714" s="5">
        <v>60</v>
      </c>
      <c r="G714" s="5">
        <v>360</v>
      </c>
    </row>
    <row r="715" spans="1:7" ht="16.5">
      <c r="A715" s="5" t="s">
        <v>4310</v>
      </c>
      <c r="B715" s="10" t="s">
        <v>4311</v>
      </c>
      <c r="C715" s="5" t="s">
        <v>709</v>
      </c>
      <c r="D715" s="5" t="s">
        <v>4312</v>
      </c>
      <c r="E715" s="5" t="s">
        <v>4258</v>
      </c>
      <c r="F715" s="5">
        <v>25</v>
      </c>
      <c r="G715" s="5">
        <v>150</v>
      </c>
    </row>
    <row r="716" spans="1:7" ht="16.5">
      <c r="A716" s="5" t="s">
        <v>4313</v>
      </c>
      <c r="B716" s="10" t="s">
        <v>4314</v>
      </c>
      <c r="C716" s="5" t="s">
        <v>710</v>
      </c>
      <c r="D716" s="5" t="s">
        <v>2337</v>
      </c>
      <c r="E716" s="5" t="s">
        <v>4258</v>
      </c>
      <c r="F716" s="5">
        <v>55</v>
      </c>
      <c r="G716" s="5">
        <v>330</v>
      </c>
    </row>
    <row r="717" spans="1:7" ht="16.5">
      <c r="A717" s="5" t="s">
        <v>4315</v>
      </c>
      <c r="B717" s="10" t="s">
        <v>4316</v>
      </c>
      <c r="C717" s="5" t="s">
        <v>711</v>
      </c>
      <c r="D717" s="5" t="s">
        <v>4317</v>
      </c>
      <c r="E717" s="5" t="s">
        <v>4258</v>
      </c>
      <c r="F717" s="5">
        <v>28</v>
      </c>
      <c r="G717" s="5">
        <v>168</v>
      </c>
    </row>
    <row r="718" spans="1:7" ht="16.5">
      <c r="A718" s="5" t="s">
        <v>4318</v>
      </c>
      <c r="B718" s="10" t="s">
        <v>4319</v>
      </c>
      <c r="C718" s="5" t="s">
        <v>712</v>
      </c>
      <c r="D718" s="5" t="s">
        <v>4320</v>
      </c>
      <c r="E718" s="5" t="s">
        <v>4258</v>
      </c>
      <c r="F718" s="5">
        <v>50</v>
      </c>
      <c r="G718" s="5">
        <v>300</v>
      </c>
    </row>
    <row r="719" spans="1:7" ht="16.5">
      <c r="A719" s="5" t="s">
        <v>4321</v>
      </c>
      <c r="B719" s="10" t="s">
        <v>4322</v>
      </c>
      <c r="C719" s="5" t="s">
        <v>713</v>
      </c>
      <c r="D719" s="5" t="s">
        <v>4323</v>
      </c>
      <c r="E719" s="5" t="s">
        <v>4258</v>
      </c>
      <c r="F719" s="5">
        <v>60</v>
      </c>
      <c r="G719" s="5">
        <v>360</v>
      </c>
    </row>
    <row r="720" spans="1:7" ht="16.5">
      <c r="A720" s="5" t="s">
        <v>4324</v>
      </c>
      <c r="B720" s="10" t="s">
        <v>4325</v>
      </c>
      <c r="C720" s="5" t="s">
        <v>714</v>
      </c>
      <c r="D720" s="5" t="s">
        <v>4326</v>
      </c>
      <c r="E720" s="5" t="s">
        <v>4258</v>
      </c>
      <c r="F720" s="5">
        <v>39.8</v>
      </c>
      <c r="G720" s="5">
        <v>239</v>
      </c>
    </row>
    <row r="721" spans="1:7" ht="16.5">
      <c r="A721" s="5" t="s">
        <v>4327</v>
      </c>
      <c r="B721" s="10" t="s">
        <v>4328</v>
      </c>
      <c r="C721" s="5" t="s">
        <v>715</v>
      </c>
      <c r="D721" s="5" t="s">
        <v>4329</v>
      </c>
      <c r="E721" s="5" t="s">
        <v>4258</v>
      </c>
      <c r="F721" s="5">
        <v>32</v>
      </c>
      <c r="G721" s="5">
        <v>192</v>
      </c>
    </row>
    <row r="722" spans="1:7" ht="16.5">
      <c r="A722" s="5" t="s">
        <v>4330</v>
      </c>
      <c r="B722" s="10" t="s">
        <v>4331</v>
      </c>
      <c r="C722" s="5" t="s">
        <v>716</v>
      </c>
      <c r="D722" s="5" t="s">
        <v>4332</v>
      </c>
      <c r="E722" s="5" t="s">
        <v>4258</v>
      </c>
      <c r="F722" s="5">
        <v>20</v>
      </c>
      <c r="G722" s="5">
        <v>120</v>
      </c>
    </row>
    <row r="723" spans="1:7" ht="16.5">
      <c r="A723" s="5" t="s">
        <v>4333</v>
      </c>
      <c r="B723" s="10" t="s">
        <v>4334</v>
      </c>
      <c r="C723" s="5" t="s">
        <v>717</v>
      </c>
      <c r="D723" s="5" t="s">
        <v>4335</v>
      </c>
      <c r="E723" s="5" t="s">
        <v>4258</v>
      </c>
      <c r="F723" s="5">
        <v>29</v>
      </c>
      <c r="G723" s="5">
        <v>174</v>
      </c>
    </row>
    <row r="724" spans="1:7" ht="16.5">
      <c r="A724" s="5" t="s">
        <v>4336</v>
      </c>
      <c r="B724" s="10" t="s">
        <v>4337</v>
      </c>
      <c r="C724" s="5" t="s">
        <v>718</v>
      </c>
      <c r="D724" s="5" t="s">
        <v>4338</v>
      </c>
      <c r="E724" s="5" t="s">
        <v>4258</v>
      </c>
      <c r="F724" s="5">
        <v>48</v>
      </c>
      <c r="G724" s="5">
        <v>288</v>
      </c>
    </row>
    <row r="725" spans="1:7" ht="16.5">
      <c r="A725" s="5" t="s">
        <v>4339</v>
      </c>
      <c r="B725" s="10" t="s">
        <v>4340</v>
      </c>
      <c r="C725" s="5" t="s">
        <v>719</v>
      </c>
      <c r="D725" s="5" t="s">
        <v>4341</v>
      </c>
      <c r="E725" s="5" t="s">
        <v>4258</v>
      </c>
      <c r="F725" s="5">
        <v>540</v>
      </c>
      <c r="G725" s="5">
        <v>3240</v>
      </c>
    </row>
    <row r="726" spans="1:7" ht="16.5">
      <c r="A726" s="5" t="s">
        <v>4342</v>
      </c>
      <c r="B726" s="10" t="s">
        <v>4343</v>
      </c>
      <c r="C726" s="5" t="s">
        <v>720</v>
      </c>
      <c r="D726" s="5" t="s">
        <v>2607</v>
      </c>
      <c r="E726" s="5" t="s">
        <v>4258</v>
      </c>
      <c r="F726" s="5">
        <v>35</v>
      </c>
      <c r="G726" s="5">
        <v>210</v>
      </c>
    </row>
    <row r="727" spans="1:7" ht="16.5">
      <c r="A727" s="5" t="s">
        <v>4344</v>
      </c>
      <c r="B727" s="10" t="s">
        <v>4345</v>
      </c>
      <c r="C727" s="5" t="s">
        <v>721</v>
      </c>
      <c r="D727" s="5" t="s">
        <v>4346</v>
      </c>
      <c r="E727" s="5" t="s">
        <v>4258</v>
      </c>
      <c r="F727" s="5">
        <v>48</v>
      </c>
      <c r="G727" s="5">
        <v>288</v>
      </c>
    </row>
    <row r="728" spans="1:7" ht="16.5">
      <c r="A728" s="5" t="s">
        <v>4347</v>
      </c>
      <c r="B728" s="10" t="s">
        <v>4348</v>
      </c>
      <c r="C728" s="5" t="s">
        <v>722</v>
      </c>
      <c r="D728" s="5" t="s">
        <v>2583</v>
      </c>
      <c r="E728" s="5" t="s">
        <v>4349</v>
      </c>
      <c r="F728" s="5">
        <v>560</v>
      </c>
      <c r="G728" s="5">
        <v>3360</v>
      </c>
    </row>
    <row r="729" spans="1:7" ht="16.5">
      <c r="A729" s="5" t="s">
        <v>4350</v>
      </c>
      <c r="B729" s="10" t="s">
        <v>4351</v>
      </c>
      <c r="C729" s="5" t="s">
        <v>723</v>
      </c>
      <c r="D729" s="5" t="s">
        <v>4352</v>
      </c>
      <c r="E729" s="5" t="s">
        <v>4349</v>
      </c>
      <c r="F729" s="5">
        <v>480</v>
      </c>
      <c r="G729" s="5">
        <v>2880</v>
      </c>
    </row>
    <row r="730" spans="1:7" ht="16.5">
      <c r="A730" s="5" t="s">
        <v>4353</v>
      </c>
      <c r="B730" s="10" t="s">
        <v>4354</v>
      </c>
      <c r="C730" s="5" t="s">
        <v>724</v>
      </c>
      <c r="D730" s="5" t="s">
        <v>4355</v>
      </c>
      <c r="E730" s="5" t="s">
        <v>4258</v>
      </c>
      <c r="F730" s="5">
        <v>42</v>
      </c>
      <c r="G730" s="5">
        <v>252</v>
      </c>
    </row>
    <row r="731" spans="1:7" ht="16.5">
      <c r="A731" s="5" t="s">
        <v>4356</v>
      </c>
      <c r="B731" s="10" t="s">
        <v>4357</v>
      </c>
      <c r="C731" s="5" t="s">
        <v>725</v>
      </c>
      <c r="D731" s="5" t="s">
        <v>4358</v>
      </c>
      <c r="E731" s="5" t="s">
        <v>4258</v>
      </c>
      <c r="F731" s="5">
        <v>39</v>
      </c>
      <c r="G731" s="5">
        <v>234</v>
      </c>
    </row>
    <row r="732" spans="1:7" ht="16.5">
      <c r="A732" s="5" t="s">
        <v>4359</v>
      </c>
      <c r="B732" s="10" t="s">
        <v>4360</v>
      </c>
      <c r="C732" s="5" t="s">
        <v>726</v>
      </c>
      <c r="D732" s="5" t="s">
        <v>4361</v>
      </c>
      <c r="E732" s="5" t="s">
        <v>4258</v>
      </c>
      <c r="F732" s="5">
        <v>45</v>
      </c>
      <c r="G732" s="5">
        <v>270</v>
      </c>
    </row>
    <row r="733" spans="1:7" ht="16.5">
      <c r="A733" s="5" t="s">
        <v>4362</v>
      </c>
      <c r="B733" s="10" t="s">
        <v>4363</v>
      </c>
      <c r="C733" s="5" t="s">
        <v>727</v>
      </c>
      <c r="D733" s="5" t="s">
        <v>4364</v>
      </c>
      <c r="E733" s="5" t="s">
        <v>4258</v>
      </c>
      <c r="F733" s="5">
        <v>28</v>
      </c>
      <c r="G733" s="5">
        <v>168</v>
      </c>
    </row>
    <row r="734" spans="1:7" ht="16.5">
      <c r="A734" s="5" t="s">
        <v>4365</v>
      </c>
      <c r="B734" s="10" t="s">
        <v>4366</v>
      </c>
      <c r="C734" s="5" t="s">
        <v>728</v>
      </c>
      <c r="D734" s="5" t="s">
        <v>4367</v>
      </c>
      <c r="E734" s="5" t="s">
        <v>4258</v>
      </c>
      <c r="F734" s="5">
        <v>25</v>
      </c>
      <c r="G734" s="5">
        <v>150</v>
      </c>
    </row>
    <row r="735" spans="1:7" ht="16.5">
      <c r="A735" s="5" t="s">
        <v>4368</v>
      </c>
      <c r="B735" s="10" t="s">
        <v>4369</v>
      </c>
      <c r="C735" s="5" t="s">
        <v>729</v>
      </c>
      <c r="D735" s="5" t="s">
        <v>4370</v>
      </c>
      <c r="E735" s="5" t="s">
        <v>2426</v>
      </c>
      <c r="F735" s="5">
        <v>25</v>
      </c>
      <c r="G735" s="5">
        <v>150</v>
      </c>
    </row>
    <row r="736" spans="1:7" ht="16.5">
      <c r="A736" s="5" t="s">
        <v>4371</v>
      </c>
      <c r="B736" s="10" t="s">
        <v>4372</v>
      </c>
      <c r="C736" s="5" t="s">
        <v>730</v>
      </c>
      <c r="D736" s="5" t="s">
        <v>4373</v>
      </c>
      <c r="E736" s="5" t="s">
        <v>4374</v>
      </c>
      <c r="F736" s="5">
        <v>160</v>
      </c>
      <c r="G736" s="5">
        <v>960</v>
      </c>
    </row>
    <row r="737" spans="1:7" ht="16.5">
      <c r="A737" s="5" t="s">
        <v>4375</v>
      </c>
      <c r="B737" s="10" t="s">
        <v>4376</v>
      </c>
      <c r="C737" s="5" t="s">
        <v>731</v>
      </c>
      <c r="D737" s="5" t="s">
        <v>4377</v>
      </c>
      <c r="E737" s="5" t="s">
        <v>4378</v>
      </c>
      <c r="F737" s="5">
        <v>58</v>
      </c>
      <c r="G737" s="5">
        <v>348</v>
      </c>
    </row>
    <row r="738" spans="1:7" ht="16.5">
      <c r="A738" s="5" t="s">
        <v>4379</v>
      </c>
      <c r="B738" s="10" t="s">
        <v>4380</v>
      </c>
      <c r="C738" s="5" t="s">
        <v>732</v>
      </c>
      <c r="D738" s="5" t="s">
        <v>4381</v>
      </c>
      <c r="E738" s="5" t="s">
        <v>4378</v>
      </c>
      <c r="F738" s="5">
        <v>29.8</v>
      </c>
      <c r="G738" s="5">
        <v>179</v>
      </c>
    </row>
    <row r="739" spans="1:7" ht="16.5">
      <c r="A739" s="5" t="s">
        <v>4382</v>
      </c>
      <c r="B739" s="10" t="s">
        <v>4383</v>
      </c>
      <c r="C739" s="5" t="s">
        <v>733</v>
      </c>
      <c r="D739" s="5" t="s">
        <v>4384</v>
      </c>
      <c r="E739" s="5" t="s">
        <v>4378</v>
      </c>
      <c r="F739" s="5">
        <v>39.8</v>
      </c>
      <c r="G739" s="5">
        <v>239</v>
      </c>
    </row>
    <row r="740" spans="1:7" ht="16.5">
      <c r="A740" s="5" t="s">
        <v>4385</v>
      </c>
      <c r="B740" s="10" t="s">
        <v>4386</v>
      </c>
      <c r="C740" s="5" t="s">
        <v>734</v>
      </c>
      <c r="D740" s="5" t="s">
        <v>4387</v>
      </c>
      <c r="E740" s="5" t="s">
        <v>4388</v>
      </c>
      <c r="F740" s="5">
        <v>32</v>
      </c>
      <c r="G740" s="5">
        <v>192</v>
      </c>
    </row>
    <row r="741" spans="1:7" ht="16.5">
      <c r="A741" s="5" t="s">
        <v>4389</v>
      </c>
      <c r="B741" s="10" t="s">
        <v>4390</v>
      </c>
      <c r="C741" s="5" t="s">
        <v>735</v>
      </c>
      <c r="D741" s="5" t="s">
        <v>2899</v>
      </c>
      <c r="E741" s="5" t="s">
        <v>4391</v>
      </c>
      <c r="F741" s="5">
        <v>28</v>
      </c>
      <c r="G741" s="5">
        <v>168</v>
      </c>
    </row>
    <row r="742" spans="1:7" ht="16.5">
      <c r="A742" s="5" t="s">
        <v>4392</v>
      </c>
      <c r="B742" s="10" t="s">
        <v>4393</v>
      </c>
      <c r="C742" s="5" t="s">
        <v>4394</v>
      </c>
      <c r="D742" s="5" t="s">
        <v>4395</v>
      </c>
      <c r="E742" s="5" t="s">
        <v>4396</v>
      </c>
      <c r="F742" s="5">
        <v>39</v>
      </c>
      <c r="G742" s="5">
        <v>228</v>
      </c>
    </row>
    <row r="743" spans="1:7" ht="16.5">
      <c r="A743" s="5" t="s">
        <v>4397</v>
      </c>
      <c r="B743" s="10" t="s">
        <v>4398</v>
      </c>
      <c r="C743" s="5" t="s">
        <v>736</v>
      </c>
      <c r="D743" s="5" t="s">
        <v>4399</v>
      </c>
      <c r="E743" s="5" t="s">
        <v>4396</v>
      </c>
      <c r="F743" s="5">
        <v>34</v>
      </c>
      <c r="G743" s="5">
        <v>204</v>
      </c>
    </row>
    <row r="744" spans="1:7" ht="16.5">
      <c r="A744" s="5" t="s">
        <v>4400</v>
      </c>
      <c r="B744" s="10" t="s">
        <v>4401</v>
      </c>
      <c r="C744" s="5" t="s">
        <v>737</v>
      </c>
      <c r="D744" s="5" t="s">
        <v>4399</v>
      </c>
      <c r="E744" s="5" t="s">
        <v>4396</v>
      </c>
      <c r="F744" s="5">
        <v>34</v>
      </c>
      <c r="G744" s="5">
        <v>204</v>
      </c>
    </row>
    <row r="745" spans="1:7" ht="16.5">
      <c r="A745" s="5" t="s">
        <v>4402</v>
      </c>
      <c r="B745" s="10" t="s">
        <v>4403</v>
      </c>
      <c r="C745" s="5" t="s">
        <v>738</v>
      </c>
      <c r="D745" s="5" t="s">
        <v>4404</v>
      </c>
      <c r="E745" s="5" t="s">
        <v>4396</v>
      </c>
      <c r="F745" s="5">
        <v>39</v>
      </c>
      <c r="G745" s="5">
        <v>234</v>
      </c>
    </row>
    <row r="746" spans="1:7" ht="16.5">
      <c r="A746" s="5" t="s">
        <v>4405</v>
      </c>
      <c r="B746" s="10" t="s">
        <v>4406</v>
      </c>
      <c r="C746" s="5" t="s">
        <v>739</v>
      </c>
      <c r="D746" s="5" t="s">
        <v>4407</v>
      </c>
      <c r="E746" s="5" t="s">
        <v>4408</v>
      </c>
      <c r="F746" s="5">
        <v>18</v>
      </c>
      <c r="G746" s="5">
        <v>108</v>
      </c>
    </row>
    <row r="747" spans="1:7" ht="16.5">
      <c r="A747" s="5" t="s">
        <v>4409</v>
      </c>
      <c r="B747" s="10" t="s">
        <v>4410</v>
      </c>
      <c r="C747" s="5" t="s">
        <v>740</v>
      </c>
      <c r="D747" s="5" t="s">
        <v>2337</v>
      </c>
      <c r="E747" s="5" t="s">
        <v>4408</v>
      </c>
      <c r="F747" s="5">
        <v>32</v>
      </c>
      <c r="G747" s="5">
        <v>192</v>
      </c>
    </row>
    <row r="748" spans="1:7" ht="16.5">
      <c r="A748" s="5" t="s">
        <v>4411</v>
      </c>
      <c r="B748" s="10" t="s">
        <v>4412</v>
      </c>
      <c r="C748" s="5" t="s">
        <v>741</v>
      </c>
      <c r="D748" s="5" t="s">
        <v>4413</v>
      </c>
      <c r="E748" s="5" t="s">
        <v>4414</v>
      </c>
      <c r="F748" s="5">
        <v>25</v>
      </c>
      <c r="G748" s="5">
        <v>150</v>
      </c>
    </row>
    <row r="749" spans="1:7" ht="16.5">
      <c r="A749" s="5" t="s">
        <v>4415</v>
      </c>
      <c r="B749" s="10" t="s">
        <v>4416</v>
      </c>
      <c r="C749" s="5" t="s">
        <v>742</v>
      </c>
      <c r="D749" s="5" t="s">
        <v>4417</v>
      </c>
      <c r="E749" s="5" t="s">
        <v>4414</v>
      </c>
      <c r="F749" s="5">
        <v>25</v>
      </c>
      <c r="G749" s="5">
        <v>150</v>
      </c>
    </row>
    <row r="750" spans="1:7" ht="16.5">
      <c r="A750" s="5" t="s">
        <v>4418</v>
      </c>
      <c r="B750" s="10" t="s">
        <v>4419</v>
      </c>
      <c r="C750" s="5" t="s">
        <v>743</v>
      </c>
      <c r="D750" s="5" t="s">
        <v>4420</v>
      </c>
      <c r="E750" s="5" t="s">
        <v>4414</v>
      </c>
      <c r="F750" s="5">
        <v>27</v>
      </c>
      <c r="G750" s="5">
        <v>162</v>
      </c>
    </row>
    <row r="751" spans="1:7" ht="16.5">
      <c r="A751" s="5" t="s">
        <v>4421</v>
      </c>
      <c r="B751" s="10" t="s">
        <v>4422</v>
      </c>
      <c r="C751" s="5" t="s">
        <v>744</v>
      </c>
      <c r="D751" s="5" t="s">
        <v>4420</v>
      </c>
      <c r="E751" s="5" t="s">
        <v>4414</v>
      </c>
      <c r="F751" s="5">
        <v>27</v>
      </c>
      <c r="G751" s="5">
        <v>162</v>
      </c>
    </row>
    <row r="752" spans="1:7" ht="16.5">
      <c r="A752" s="5" t="s">
        <v>4423</v>
      </c>
      <c r="B752" s="10" t="s">
        <v>4424</v>
      </c>
      <c r="C752" s="5" t="s">
        <v>745</v>
      </c>
      <c r="D752" s="5" t="s">
        <v>4420</v>
      </c>
      <c r="E752" s="5" t="s">
        <v>4414</v>
      </c>
      <c r="F752" s="5">
        <v>28.8</v>
      </c>
      <c r="G752" s="5">
        <v>173</v>
      </c>
    </row>
    <row r="753" spans="1:7" ht="16.5">
      <c r="A753" s="5" t="s">
        <v>4425</v>
      </c>
      <c r="B753" s="10" t="s">
        <v>4426</v>
      </c>
      <c r="C753" s="5" t="s">
        <v>746</v>
      </c>
      <c r="D753" s="5" t="s">
        <v>4420</v>
      </c>
      <c r="E753" s="5" t="s">
        <v>4414</v>
      </c>
      <c r="F753" s="5">
        <v>28</v>
      </c>
      <c r="G753" s="5">
        <v>168</v>
      </c>
    </row>
    <row r="754" spans="1:7" ht="16.5">
      <c r="A754" s="5" t="s">
        <v>4427</v>
      </c>
      <c r="B754" s="10" t="s">
        <v>4428</v>
      </c>
      <c r="C754" s="5" t="s">
        <v>747</v>
      </c>
      <c r="D754" s="5" t="s">
        <v>4429</v>
      </c>
      <c r="E754" s="5" t="s">
        <v>4414</v>
      </c>
      <c r="F754" s="5">
        <v>27</v>
      </c>
      <c r="G754" s="5">
        <v>162</v>
      </c>
    </row>
    <row r="755" spans="1:7" ht="16.5">
      <c r="A755" s="5" t="s">
        <v>4430</v>
      </c>
      <c r="B755" s="10" t="s">
        <v>4431</v>
      </c>
      <c r="C755" s="5" t="s">
        <v>748</v>
      </c>
      <c r="D755" s="5" t="s">
        <v>4432</v>
      </c>
      <c r="E755" s="5" t="s">
        <v>4414</v>
      </c>
      <c r="F755" s="5">
        <v>29.8</v>
      </c>
      <c r="G755" s="5">
        <v>179</v>
      </c>
    </row>
    <row r="756" spans="1:7" ht="16.5">
      <c r="A756" s="5" t="s">
        <v>4433</v>
      </c>
      <c r="B756" s="10" t="s">
        <v>4434</v>
      </c>
      <c r="C756" s="5" t="s">
        <v>749</v>
      </c>
      <c r="D756" s="5" t="s">
        <v>4435</v>
      </c>
      <c r="E756" s="5" t="s">
        <v>4436</v>
      </c>
      <c r="F756" s="5">
        <v>23</v>
      </c>
      <c r="G756" s="5">
        <v>138</v>
      </c>
    </row>
    <row r="757" spans="1:7" ht="16.5">
      <c r="A757" s="5" t="s">
        <v>4437</v>
      </c>
      <c r="B757" s="10" t="s">
        <v>4438</v>
      </c>
      <c r="C757" s="5" t="s">
        <v>750</v>
      </c>
      <c r="D757" s="5" t="s">
        <v>4439</v>
      </c>
      <c r="E757" s="5" t="s">
        <v>4440</v>
      </c>
      <c r="F757" s="5">
        <v>68</v>
      </c>
      <c r="G757" s="5">
        <v>408</v>
      </c>
    </row>
    <row r="758" spans="1:7" ht="16.5">
      <c r="A758" s="5" t="s">
        <v>4441</v>
      </c>
      <c r="B758" s="10" t="s">
        <v>4442</v>
      </c>
      <c r="C758" s="5" t="s">
        <v>751</v>
      </c>
      <c r="D758" s="5" t="s">
        <v>4443</v>
      </c>
      <c r="E758" s="5" t="s">
        <v>4440</v>
      </c>
      <c r="F758" s="5">
        <v>88</v>
      </c>
      <c r="G758" s="5">
        <v>528</v>
      </c>
    </row>
    <row r="759" spans="1:7" ht="16.5">
      <c r="A759" s="5" t="s">
        <v>4444</v>
      </c>
      <c r="B759" s="10" t="s">
        <v>4445</v>
      </c>
      <c r="C759" s="5" t="s">
        <v>752</v>
      </c>
      <c r="D759" s="5" t="s">
        <v>4446</v>
      </c>
      <c r="E759" s="5" t="s">
        <v>4447</v>
      </c>
      <c r="F759" s="5">
        <v>25</v>
      </c>
      <c r="G759" s="5">
        <v>150</v>
      </c>
    </row>
    <row r="760" spans="1:7" ht="16.5">
      <c r="A760" s="5" t="s">
        <v>4448</v>
      </c>
      <c r="B760" s="10" t="s">
        <v>4449</v>
      </c>
      <c r="C760" s="5" t="s">
        <v>753</v>
      </c>
      <c r="D760" s="5" t="s">
        <v>4450</v>
      </c>
      <c r="E760" s="5" t="s">
        <v>4447</v>
      </c>
      <c r="F760" s="5">
        <v>48</v>
      </c>
      <c r="G760" s="5">
        <v>288</v>
      </c>
    </row>
    <row r="761" spans="1:7" ht="16.5">
      <c r="A761" s="5" t="s">
        <v>4451</v>
      </c>
      <c r="B761" s="10" t="s">
        <v>4452</v>
      </c>
      <c r="C761" s="5" t="s">
        <v>754</v>
      </c>
      <c r="D761" s="5" t="s">
        <v>4453</v>
      </c>
      <c r="E761" s="5" t="s">
        <v>4447</v>
      </c>
      <c r="F761" s="5">
        <v>29.8</v>
      </c>
      <c r="G761" s="5">
        <v>179</v>
      </c>
    </row>
    <row r="762" spans="1:7" ht="16.5">
      <c r="A762" s="5" t="s">
        <v>4454</v>
      </c>
      <c r="B762" s="10" t="s">
        <v>4455</v>
      </c>
      <c r="C762" s="5" t="s">
        <v>755</v>
      </c>
      <c r="D762" s="5" t="s">
        <v>4456</v>
      </c>
      <c r="E762" s="5" t="s">
        <v>4447</v>
      </c>
      <c r="F762" s="5">
        <v>22</v>
      </c>
      <c r="G762" s="5">
        <v>132</v>
      </c>
    </row>
    <row r="763" spans="1:7" ht="16.5">
      <c r="A763" s="5" t="s">
        <v>4457</v>
      </c>
      <c r="B763" s="10" t="s">
        <v>4458</v>
      </c>
      <c r="C763" s="5" t="s">
        <v>756</v>
      </c>
      <c r="D763" s="5" t="s">
        <v>3488</v>
      </c>
      <c r="E763" s="5" t="s">
        <v>4459</v>
      </c>
      <c r="F763" s="5">
        <v>26</v>
      </c>
      <c r="G763" s="5">
        <v>156</v>
      </c>
    </row>
    <row r="764" spans="1:7" ht="16.5">
      <c r="A764" s="5" t="s">
        <v>4460</v>
      </c>
      <c r="B764" s="10" t="s">
        <v>4461</v>
      </c>
      <c r="C764" s="5" t="s">
        <v>757</v>
      </c>
      <c r="D764" s="5" t="s">
        <v>4462</v>
      </c>
      <c r="E764" s="5" t="s">
        <v>4459</v>
      </c>
      <c r="F764" s="5">
        <v>27</v>
      </c>
      <c r="G764" s="5">
        <v>162</v>
      </c>
    </row>
    <row r="765" spans="1:7" ht="16.5">
      <c r="A765" s="5" t="s">
        <v>4463</v>
      </c>
      <c r="B765" s="10" t="s">
        <v>4464</v>
      </c>
      <c r="C765" s="5" t="s">
        <v>758</v>
      </c>
      <c r="D765" s="5" t="s">
        <v>2637</v>
      </c>
      <c r="E765" s="5" t="s">
        <v>4459</v>
      </c>
      <c r="F765" s="5">
        <v>22</v>
      </c>
      <c r="G765" s="5">
        <v>132</v>
      </c>
    </row>
    <row r="766" spans="1:7" ht="16.5">
      <c r="A766" s="5" t="s">
        <v>4465</v>
      </c>
      <c r="B766" s="10" t="s">
        <v>4466</v>
      </c>
      <c r="C766" s="5" t="s">
        <v>759</v>
      </c>
      <c r="D766" s="5" t="s">
        <v>4467</v>
      </c>
      <c r="E766" s="5" t="s">
        <v>4459</v>
      </c>
      <c r="F766" s="5">
        <v>26</v>
      </c>
      <c r="G766" s="5">
        <v>156</v>
      </c>
    </row>
    <row r="767" spans="1:7" ht="16.5">
      <c r="A767" s="5" t="s">
        <v>4468</v>
      </c>
      <c r="B767" s="10" t="s">
        <v>4469</v>
      </c>
      <c r="C767" s="5" t="s">
        <v>760</v>
      </c>
      <c r="D767" s="5" t="s">
        <v>4470</v>
      </c>
      <c r="E767" s="5" t="s">
        <v>4459</v>
      </c>
      <c r="F767" s="5">
        <v>25</v>
      </c>
      <c r="G767" s="5">
        <v>150</v>
      </c>
    </row>
    <row r="768" spans="1:7" ht="16.5">
      <c r="A768" s="5" t="s">
        <v>4471</v>
      </c>
      <c r="B768" s="10" t="s">
        <v>4472</v>
      </c>
      <c r="C768" s="5" t="s">
        <v>761</v>
      </c>
      <c r="D768" s="5" t="s">
        <v>4473</v>
      </c>
      <c r="E768" s="5" t="s">
        <v>4459</v>
      </c>
      <c r="F768" s="5">
        <v>26</v>
      </c>
      <c r="G768" s="5">
        <v>156</v>
      </c>
    </row>
    <row r="769" spans="1:7" ht="16.5">
      <c r="A769" s="5" t="s">
        <v>4474</v>
      </c>
      <c r="B769" s="10" t="s">
        <v>4475</v>
      </c>
      <c r="C769" s="5" t="s">
        <v>762</v>
      </c>
      <c r="D769" s="5" t="s">
        <v>4476</v>
      </c>
      <c r="E769" s="5" t="s">
        <v>4459</v>
      </c>
      <c r="F769" s="5">
        <v>27</v>
      </c>
      <c r="G769" s="5">
        <v>162</v>
      </c>
    </row>
    <row r="770" spans="1:7" ht="16.5">
      <c r="A770" s="5" t="s">
        <v>4477</v>
      </c>
      <c r="B770" s="10" t="s">
        <v>4478</v>
      </c>
      <c r="C770" s="5" t="s">
        <v>763</v>
      </c>
      <c r="D770" s="5" t="s">
        <v>4476</v>
      </c>
      <c r="E770" s="5" t="s">
        <v>4459</v>
      </c>
      <c r="F770" s="5">
        <v>24</v>
      </c>
      <c r="G770" s="5">
        <v>144</v>
      </c>
    </row>
    <row r="771" spans="1:7" ht="16.5">
      <c r="A771" s="5" t="s">
        <v>4479</v>
      </c>
      <c r="B771" s="10" t="s">
        <v>4480</v>
      </c>
      <c r="C771" s="5" t="s">
        <v>764</v>
      </c>
      <c r="D771" s="5" t="s">
        <v>4481</v>
      </c>
      <c r="E771" s="5" t="s">
        <v>4459</v>
      </c>
      <c r="F771" s="5">
        <v>28</v>
      </c>
      <c r="G771" s="5">
        <v>168</v>
      </c>
    </row>
    <row r="772" spans="1:7" ht="16.5">
      <c r="A772" s="5" t="s">
        <v>4482</v>
      </c>
      <c r="B772" s="10" t="s">
        <v>4483</v>
      </c>
      <c r="C772" s="5" t="s">
        <v>765</v>
      </c>
      <c r="D772" s="5" t="s">
        <v>4484</v>
      </c>
      <c r="E772" s="5" t="s">
        <v>4459</v>
      </c>
      <c r="F772" s="5">
        <v>26</v>
      </c>
      <c r="G772" s="5">
        <v>156</v>
      </c>
    </row>
    <row r="773" spans="1:7" ht="16.5">
      <c r="A773" s="5" t="s">
        <v>4485</v>
      </c>
      <c r="B773" s="10" t="s">
        <v>4486</v>
      </c>
      <c r="C773" s="5" t="s">
        <v>766</v>
      </c>
      <c r="D773" s="5" t="s">
        <v>4487</v>
      </c>
      <c r="E773" s="5" t="s">
        <v>4459</v>
      </c>
      <c r="F773" s="5">
        <v>30</v>
      </c>
      <c r="G773" s="5">
        <v>180</v>
      </c>
    </row>
    <row r="774" spans="1:7" ht="16.5">
      <c r="A774" s="5" t="s">
        <v>4488</v>
      </c>
      <c r="B774" s="10" t="s">
        <v>4489</v>
      </c>
      <c r="C774" s="5" t="s">
        <v>767</v>
      </c>
      <c r="D774" s="5" t="s">
        <v>2559</v>
      </c>
      <c r="E774" s="5" t="s">
        <v>4490</v>
      </c>
      <c r="F774" s="5">
        <v>35</v>
      </c>
      <c r="G774" s="5">
        <v>210</v>
      </c>
    </row>
    <row r="775" spans="1:7" ht="16.5">
      <c r="A775" s="5" t="s">
        <v>4491</v>
      </c>
      <c r="B775" s="10" t="s">
        <v>4492</v>
      </c>
      <c r="C775" s="5" t="s">
        <v>768</v>
      </c>
      <c r="D775" s="5" t="s">
        <v>4493</v>
      </c>
      <c r="E775" s="5" t="s">
        <v>4494</v>
      </c>
      <c r="F775" s="5">
        <v>220</v>
      </c>
      <c r="G775" s="5">
        <v>1320</v>
      </c>
    </row>
    <row r="776" spans="1:7" ht="16.5">
      <c r="A776" s="5" t="s">
        <v>4495</v>
      </c>
      <c r="B776" s="10" t="s">
        <v>4496</v>
      </c>
      <c r="C776" s="5" t="s">
        <v>769</v>
      </c>
      <c r="D776" s="5" t="s">
        <v>4497</v>
      </c>
      <c r="E776" s="5" t="s">
        <v>4494</v>
      </c>
      <c r="F776" s="5">
        <v>30</v>
      </c>
      <c r="G776" s="5">
        <v>180</v>
      </c>
    </row>
    <row r="777" spans="1:7" ht="16.5">
      <c r="A777" s="5" t="s">
        <v>4498</v>
      </c>
      <c r="B777" s="10" t="s">
        <v>4499</v>
      </c>
      <c r="C777" s="5" t="s">
        <v>770</v>
      </c>
      <c r="D777" s="5" t="s">
        <v>4500</v>
      </c>
      <c r="E777" s="5" t="s">
        <v>4501</v>
      </c>
      <c r="F777" s="5">
        <v>32</v>
      </c>
      <c r="G777" s="5">
        <v>192</v>
      </c>
    </row>
    <row r="778" spans="1:7" ht="16.5">
      <c r="A778" s="5" t="s">
        <v>4502</v>
      </c>
      <c r="B778" s="10" t="s">
        <v>4499</v>
      </c>
      <c r="C778" s="5" t="s">
        <v>771</v>
      </c>
      <c r="D778" s="5" t="s">
        <v>4500</v>
      </c>
      <c r="E778" s="5" t="s">
        <v>4501</v>
      </c>
      <c r="F778" s="5">
        <v>32</v>
      </c>
      <c r="G778" s="5">
        <v>192</v>
      </c>
    </row>
    <row r="779" spans="1:7" ht="16.5">
      <c r="A779" s="5" t="s">
        <v>4503</v>
      </c>
      <c r="B779" s="10" t="s">
        <v>4504</v>
      </c>
      <c r="C779" s="5" t="s">
        <v>772</v>
      </c>
      <c r="D779" s="5" t="s">
        <v>4505</v>
      </c>
      <c r="E779" s="5" t="s">
        <v>4501</v>
      </c>
      <c r="F779" s="5">
        <v>25</v>
      </c>
      <c r="G779" s="5">
        <v>150</v>
      </c>
    </row>
    <row r="780" spans="1:7" ht="16.5">
      <c r="A780" s="5" t="s">
        <v>4506</v>
      </c>
      <c r="B780" s="10" t="s">
        <v>4507</v>
      </c>
      <c r="C780" s="5" t="s">
        <v>773</v>
      </c>
      <c r="D780" s="5" t="s">
        <v>4508</v>
      </c>
      <c r="E780" s="5" t="s">
        <v>4509</v>
      </c>
      <c r="F780" s="5">
        <v>22</v>
      </c>
      <c r="G780" s="5">
        <v>132</v>
      </c>
    </row>
    <row r="781" spans="1:7" ht="16.5">
      <c r="A781" s="5" t="s">
        <v>4510</v>
      </c>
      <c r="B781" s="10" t="s">
        <v>4511</v>
      </c>
      <c r="C781" s="5" t="s">
        <v>774</v>
      </c>
      <c r="D781" s="5" t="s">
        <v>4512</v>
      </c>
      <c r="E781" s="5" t="s">
        <v>4509</v>
      </c>
      <c r="F781" s="5">
        <v>22</v>
      </c>
      <c r="G781" s="5">
        <v>132</v>
      </c>
    </row>
    <row r="782" spans="1:7" ht="16.5">
      <c r="A782" s="5" t="s">
        <v>4513</v>
      </c>
      <c r="B782" s="10" t="s">
        <v>4514</v>
      </c>
      <c r="C782" s="5" t="s">
        <v>775</v>
      </c>
      <c r="D782" s="5" t="s">
        <v>4515</v>
      </c>
      <c r="E782" s="5" t="s">
        <v>4509</v>
      </c>
      <c r="F782" s="5">
        <v>29.8</v>
      </c>
      <c r="G782" s="5">
        <v>179</v>
      </c>
    </row>
    <row r="783" spans="1:7" ht="16.5">
      <c r="A783" s="5" t="s">
        <v>4516</v>
      </c>
      <c r="B783" s="10" t="s">
        <v>4517</v>
      </c>
      <c r="C783" s="5" t="s">
        <v>776</v>
      </c>
      <c r="D783" s="5" t="s">
        <v>4518</v>
      </c>
      <c r="E783" s="5" t="s">
        <v>4509</v>
      </c>
      <c r="F783" s="5">
        <v>39.8</v>
      </c>
      <c r="G783" s="5">
        <v>239</v>
      </c>
    </row>
    <row r="784" spans="1:7" ht="16.5">
      <c r="A784" s="5" t="s">
        <v>4519</v>
      </c>
      <c r="B784" s="10" t="s">
        <v>4520</v>
      </c>
      <c r="C784" s="5" t="s">
        <v>777</v>
      </c>
      <c r="D784" s="5" t="s">
        <v>4521</v>
      </c>
      <c r="E784" s="5" t="s">
        <v>4509</v>
      </c>
      <c r="F784" s="5">
        <v>29.8</v>
      </c>
      <c r="G784" s="5">
        <v>179</v>
      </c>
    </row>
    <row r="785" spans="1:7" ht="16.5">
      <c r="A785" s="5" t="s">
        <v>4522</v>
      </c>
      <c r="B785" s="10" t="s">
        <v>4523</v>
      </c>
      <c r="C785" s="5" t="s">
        <v>778</v>
      </c>
      <c r="D785" s="5" t="s">
        <v>4524</v>
      </c>
      <c r="E785" s="5" t="s">
        <v>4509</v>
      </c>
      <c r="F785" s="5">
        <v>29.8</v>
      </c>
      <c r="G785" s="5">
        <v>179</v>
      </c>
    </row>
    <row r="786" spans="1:7" ht="16.5">
      <c r="A786" s="5" t="s">
        <v>4525</v>
      </c>
      <c r="B786" s="10" t="s">
        <v>4526</v>
      </c>
      <c r="C786" s="5" t="s">
        <v>779</v>
      </c>
      <c r="D786" s="5" t="s">
        <v>4527</v>
      </c>
      <c r="E786" s="5" t="s">
        <v>4509</v>
      </c>
      <c r="F786" s="5">
        <v>29.8</v>
      </c>
      <c r="G786" s="5">
        <v>179</v>
      </c>
    </row>
    <row r="787" spans="1:7" ht="16.5">
      <c r="A787" s="5" t="s">
        <v>4528</v>
      </c>
      <c r="B787" s="10" t="s">
        <v>4529</v>
      </c>
      <c r="C787" s="5" t="s">
        <v>780</v>
      </c>
      <c r="D787" s="5" t="s">
        <v>4530</v>
      </c>
      <c r="E787" s="5" t="s">
        <v>4509</v>
      </c>
      <c r="F787" s="5">
        <v>29.8</v>
      </c>
      <c r="G787" s="5">
        <v>179</v>
      </c>
    </row>
    <row r="788" spans="1:7" ht="16.5">
      <c r="A788" s="5" t="s">
        <v>4531</v>
      </c>
      <c r="B788" s="10" t="s">
        <v>4532</v>
      </c>
      <c r="C788" s="5" t="s">
        <v>781</v>
      </c>
      <c r="D788" s="5" t="s">
        <v>4533</v>
      </c>
      <c r="E788" s="5" t="s">
        <v>4534</v>
      </c>
      <c r="F788" s="5">
        <v>27</v>
      </c>
      <c r="G788" s="5">
        <v>162</v>
      </c>
    </row>
    <row r="789" spans="1:7" ht="16.5">
      <c r="A789" s="5" t="s">
        <v>4535</v>
      </c>
      <c r="B789" s="10" t="s">
        <v>4536</v>
      </c>
      <c r="C789" s="5" t="s">
        <v>782</v>
      </c>
      <c r="D789" s="5" t="s">
        <v>4537</v>
      </c>
      <c r="E789" s="5" t="s">
        <v>4534</v>
      </c>
      <c r="F789" s="5">
        <v>30</v>
      </c>
      <c r="G789" s="5">
        <v>180</v>
      </c>
    </row>
    <row r="790" spans="1:7" ht="16.5">
      <c r="A790" s="5" t="s">
        <v>4538</v>
      </c>
      <c r="B790" s="10" t="s">
        <v>4539</v>
      </c>
      <c r="C790" s="5" t="s">
        <v>783</v>
      </c>
      <c r="D790" s="5" t="s">
        <v>4540</v>
      </c>
      <c r="E790" s="5" t="s">
        <v>4541</v>
      </c>
      <c r="F790" s="5">
        <v>26.8</v>
      </c>
      <c r="G790" s="5">
        <v>161</v>
      </c>
    </row>
    <row r="791" spans="1:7" ht="16.5">
      <c r="A791" s="5" t="s">
        <v>4542</v>
      </c>
      <c r="B791" s="10" t="s">
        <v>4543</v>
      </c>
      <c r="C791" s="5" t="s">
        <v>4544</v>
      </c>
      <c r="D791" s="5" t="s">
        <v>4540</v>
      </c>
      <c r="E791" s="5" t="s">
        <v>4541</v>
      </c>
      <c r="F791" s="5">
        <v>29.5</v>
      </c>
      <c r="G791" s="5">
        <v>177</v>
      </c>
    </row>
    <row r="792" spans="1:7" ht="16.5">
      <c r="A792" s="5" t="s">
        <v>4545</v>
      </c>
      <c r="B792" s="10" t="s">
        <v>4546</v>
      </c>
      <c r="C792" s="5" t="s">
        <v>784</v>
      </c>
      <c r="D792" s="5" t="s">
        <v>4547</v>
      </c>
      <c r="E792" s="5" t="s">
        <v>4541</v>
      </c>
      <c r="F792" s="5">
        <v>19.8</v>
      </c>
      <c r="G792" s="5">
        <v>119</v>
      </c>
    </row>
    <row r="793" spans="1:7" ht="16.5">
      <c r="A793" s="5" t="s">
        <v>4548</v>
      </c>
      <c r="B793" s="10" t="s">
        <v>4549</v>
      </c>
      <c r="C793" s="5" t="s">
        <v>785</v>
      </c>
      <c r="D793" s="5" t="s">
        <v>4540</v>
      </c>
      <c r="E793" s="5" t="s">
        <v>4541</v>
      </c>
      <c r="F793" s="5">
        <v>31.5</v>
      </c>
      <c r="G793" s="5">
        <v>189</v>
      </c>
    </row>
    <row r="794" spans="1:7" ht="16.5">
      <c r="A794" s="5" t="s">
        <v>4550</v>
      </c>
      <c r="B794" s="10" t="s">
        <v>4551</v>
      </c>
      <c r="C794" s="5" t="s">
        <v>786</v>
      </c>
      <c r="D794" s="5" t="s">
        <v>4552</v>
      </c>
      <c r="E794" s="5" t="s">
        <v>4541</v>
      </c>
      <c r="F794" s="5">
        <v>26.5</v>
      </c>
      <c r="G794" s="5">
        <v>159</v>
      </c>
    </row>
    <row r="795" spans="1:7" ht="16.5">
      <c r="A795" s="5" t="s">
        <v>4553</v>
      </c>
      <c r="B795" s="10" t="s">
        <v>4554</v>
      </c>
      <c r="C795" s="5" t="s">
        <v>787</v>
      </c>
      <c r="D795" s="5" t="s">
        <v>4540</v>
      </c>
      <c r="E795" s="5" t="s">
        <v>4541</v>
      </c>
      <c r="F795" s="5">
        <v>19.8</v>
      </c>
      <c r="G795" s="5">
        <v>119</v>
      </c>
    </row>
    <row r="796" spans="1:7" ht="16.5">
      <c r="A796" s="5" t="s">
        <v>4555</v>
      </c>
      <c r="B796" s="10" t="s">
        <v>4556</v>
      </c>
      <c r="C796" s="5" t="s">
        <v>788</v>
      </c>
      <c r="D796" s="5" t="s">
        <v>4557</v>
      </c>
      <c r="E796" s="5" t="s">
        <v>4558</v>
      </c>
      <c r="F796" s="5">
        <v>38</v>
      </c>
      <c r="G796" s="5">
        <v>228</v>
      </c>
    </row>
    <row r="797" spans="1:7" ht="16.5">
      <c r="A797" s="5" t="s">
        <v>4559</v>
      </c>
      <c r="B797" s="10" t="s">
        <v>4560</v>
      </c>
      <c r="C797" s="5" t="s">
        <v>789</v>
      </c>
      <c r="D797" s="5" t="s">
        <v>4561</v>
      </c>
      <c r="E797" s="5" t="s">
        <v>4558</v>
      </c>
      <c r="F797" s="5">
        <v>48</v>
      </c>
      <c r="G797" s="5">
        <v>288</v>
      </c>
    </row>
    <row r="798" spans="1:7" ht="16.5">
      <c r="A798" s="5" t="s">
        <v>4562</v>
      </c>
      <c r="B798" s="10" t="s">
        <v>4563</v>
      </c>
      <c r="C798" s="5" t="s">
        <v>790</v>
      </c>
      <c r="D798" s="5" t="s">
        <v>4564</v>
      </c>
      <c r="E798" s="5" t="s">
        <v>4558</v>
      </c>
      <c r="F798" s="5">
        <v>48</v>
      </c>
      <c r="G798" s="5">
        <v>288</v>
      </c>
    </row>
    <row r="799" spans="1:7" ht="16.5">
      <c r="A799" s="5" t="s">
        <v>4565</v>
      </c>
      <c r="B799" s="10" t="s">
        <v>4566</v>
      </c>
      <c r="C799" s="5" t="s">
        <v>791</v>
      </c>
      <c r="D799" s="5" t="s">
        <v>4567</v>
      </c>
      <c r="E799" s="5" t="s">
        <v>4558</v>
      </c>
      <c r="F799" s="5">
        <v>38</v>
      </c>
      <c r="G799" s="5">
        <v>228</v>
      </c>
    </row>
    <row r="800" spans="1:7" ht="16.5">
      <c r="A800" s="5" t="s">
        <v>4568</v>
      </c>
      <c r="B800" s="10" t="s">
        <v>4569</v>
      </c>
      <c r="C800" s="5" t="s">
        <v>792</v>
      </c>
      <c r="D800" s="5" t="s">
        <v>4570</v>
      </c>
      <c r="E800" s="5" t="s">
        <v>4558</v>
      </c>
      <c r="F800" s="5">
        <v>28</v>
      </c>
      <c r="G800" s="5">
        <v>168</v>
      </c>
    </row>
    <row r="801" spans="1:7" ht="16.5">
      <c r="A801" s="5" t="s">
        <v>4571</v>
      </c>
      <c r="B801" s="10" t="s">
        <v>4572</v>
      </c>
      <c r="C801" s="5" t="s">
        <v>793</v>
      </c>
      <c r="D801" s="5" t="s">
        <v>4573</v>
      </c>
      <c r="E801" s="5" t="s">
        <v>4558</v>
      </c>
      <c r="F801" s="5">
        <v>35</v>
      </c>
      <c r="G801" s="5">
        <v>210</v>
      </c>
    </row>
    <row r="802" spans="1:7" ht="16.5">
      <c r="A802" s="5" t="s">
        <v>4574</v>
      </c>
      <c r="B802" s="10" t="s">
        <v>4575</v>
      </c>
      <c r="C802" s="5" t="s">
        <v>794</v>
      </c>
      <c r="D802" s="5" t="s">
        <v>4576</v>
      </c>
      <c r="E802" s="5" t="s">
        <v>4558</v>
      </c>
      <c r="F802" s="5">
        <v>40</v>
      </c>
      <c r="G802" s="5">
        <v>240</v>
      </c>
    </row>
    <row r="803" spans="1:7" ht="16.5">
      <c r="A803" s="5" t="s">
        <v>4577</v>
      </c>
      <c r="B803" s="10" t="s">
        <v>4578</v>
      </c>
      <c r="C803" s="5" t="s">
        <v>795</v>
      </c>
      <c r="D803" s="5" t="s">
        <v>4576</v>
      </c>
      <c r="E803" s="5" t="s">
        <v>4558</v>
      </c>
      <c r="F803" s="5">
        <v>30</v>
      </c>
      <c r="G803" s="5">
        <v>180</v>
      </c>
    </row>
    <row r="804" spans="1:7" ht="16.5">
      <c r="A804" s="5" t="s">
        <v>4579</v>
      </c>
      <c r="B804" s="10" t="s">
        <v>4580</v>
      </c>
      <c r="C804" s="5" t="s">
        <v>796</v>
      </c>
      <c r="D804" s="5" t="s">
        <v>4581</v>
      </c>
      <c r="E804" s="5" t="s">
        <v>4558</v>
      </c>
      <c r="F804" s="5">
        <v>28</v>
      </c>
      <c r="G804" s="5">
        <v>168</v>
      </c>
    </row>
    <row r="805" spans="1:7" ht="16.5">
      <c r="A805" s="5" t="s">
        <v>4582</v>
      </c>
      <c r="B805" s="10" t="s">
        <v>4583</v>
      </c>
      <c r="C805" s="5" t="s">
        <v>797</v>
      </c>
      <c r="D805" s="5" t="s">
        <v>4584</v>
      </c>
      <c r="E805" s="5" t="s">
        <v>4558</v>
      </c>
      <c r="F805" s="5">
        <v>78</v>
      </c>
      <c r="G805" s="5">
        <v>468</v>
      </c>
    </row>
    <row r="806" spans="1:7" ht="16.5">
      <c r="A806" s="5" t="s">
        <v>4585</v>
      </c>
      <c r="B806" s="10" t="s">
        <v>4586</v>
      </c>
      <c r="C806" s="5" t="s">
        <v>798</v>
      </c>
      <c r="D806" s="5" t="s">
        <v>4587</v>
      </c>
      <c r="E806" s="5" t="s">
        <v>4258</v>
      </c>
      <c r="F806" s="5">
        <v>28</v>
      </c>
      <c r="G806" s="5">
        <v>168</v>
      </c>
    </row>
    <row r="807" spans="1:7" ht="16.5">
      <c r="A807" s="5" t="s">
        <v>4588</v>
      </c>
      <c r="B807" s="10" t="s">
        <v>4589</v>
      </c>
      <c r="C807" s="5" t="s">
        <v>799</v>
      </c>
      <c r="D807" s="5" t="s">
        <v>4590</v>
      </c>
      <c r="E807" s="5" t="s">
        <v>4258</v>
      </c>
      <c r="F807" s="5">
        <v>28</v>
      </c>
      <c r="G807" s="5">
        <v>168</v>
      </c>
    </row>
    <row r="808" spans="1:7" ht="16.5">
      <c r="A808" s="5" t="s">
        <v>4591</v>
      </c>
      <c r="B808" s="10" t="s">
        <v>4592</v>
      </c>
      <c r="C808" s="5" t="s">
        <v>800</v>
      </c>
      <c r="D808" s="5" t="s">
        <v>4593</v>
      </c>
      <c r="E808" s="5" t="s">
        <v>4258</v>
      </c>
      <c r="F808" s="5">
        <v>28</v>
      </c>
      <c r="G808" s="5">
        <v>168</v>
      </c>
    </row>
    <row r="809" spans="1:7" ht="16.5">
      <c r="A809" s="5" t="s">
        <v>4594</v>
      </c>
      <c r="B809" s="10" t="s">
        <v>4595</v>
      </c>
      <c r="C809" s="5" t="s">
        <v>801</v>
      </c>
      <c r="D809" s="5" t="s">
        <v>4596</v>
      </c>
      <c r="E809" s="5" t="s">
        <v>4258</v>
      </c>
      <c r="F809" s="5">
        <v>28</v>
      </c>
      <c r="G809" s="5">
        <v>168</v>
      </c>
    </row>
    <row r="810" spans="1:7" ht="16.5">
      <c r="A810" s="5" t="s">
        <v>4597</v>
      </c>
      <c r="B810" s="10" t="s">
        <v>4598</v>
      </c>
      <c r="C810" s="5" t="s">
        <v>802</v>
      </c>
      <c r="D810" s="5" t="s">
        <v>4599</v>
      </c>
      <c r="E810" s="5" t="s">
        <v>4600</v>
      </c>
      <c r="F810" s="5">
        <v>98</v>
      </c>
      <c r="G810" s="5">
        <v>588</v>
      </c>
    </row>
    <row r="811" spans="1:7" ht="16.5">
      <c r="A811" s="5" t="s">
        <v>4601</v>
      </c>
      <c r="B811" s="10" t="s">
        <v>4602</v>
      </c>
      <c r="C811" s="5" t="s">
        <v>803</v>
      </c>
      <c r="D811" s="5" t="s">
        <v>4603</v>
      </c>
      <c r="E811" s="5" t="s">
        <v>4258</v>
      </c>
      <c r="F811" s="5">
        <v>28</v>
      </c>
      <c r="G811" s="5">
        <v>168</v>
      </c>
    </row>
    <row r="812" spans="1:7" ht="16.5">
      <c r="A812" s="5" t="s">
        <v>4604</v>
      </c>
      <c r="B812" s="10" t="s">
        <v>2236</v>
      </c>
      <c r="C812" s="5" t="s">
        <v>804</v>
      </c>
      <c r="D812" s="5" t="s">
        <v>4605</v>
      </c>
      <c r="E812" s="5" t="s">
        <v>4600</v>
      </c>
      <c r="F812" s="5">
        <v>68</v>
      </c>
      <c r="G812" s="5">
        <v>408</v>
      </c>
    </row>
    <row r="813" spans="1:7" ht="16.5">
      <c r="A813" s="5" t="s">
        <v>4606</v>
      </c>
      <c r="B813" s="10" t="s">
        <v>4607</v>
      </c>
      <c r="C813" s="5" t="s">
        <v>805</v>
      </c>
      <c r="D813" s="5" t="s">
        <v>4608</v>
      </c>
      <c r="E813" s="5" t="s">
        <v>2236</v>
      </c>
      <c r="F813" s="5">
        <v>18</v>
      </c>
      <c r="G813" s="5">
        <v>108</v>
      </c>
    </row>
    <row r="814" spans="1:7" ht="16.5">
      <c r="A814" s="5" t="s">
        <v>4609</v>
      </c>
      <c r="B814" s="10" t="s">
        <v>2236</v>
      </c>
      <c r="C814" s="5" t="s">
        <v>806</v>
      </c>
      <c r="D814" s="5" t="s">
        <v>4610</v>
      </c>
      <c r="E814" s="5" t="s">
        <v>4600</v>
      </c>
      <c r="F814" s="5">
        <v>29</v>
      </c>
      <c r="G814" s="5">
        <v>174</v>
      </c>
    </row>
    <row r="815" spans="1:7" ht="16.5">
      <c r="A815" s="5" t="s">
        <v>4611</v>
      </c>
      <c r="B815" s="10" t="s">
        <v>4612</v>
      </c>
      <c r="C815" s="5" t="s">
        <v>807</v>
      </c>
      <c r="D815" s="5" t="s">
        <v>4613</v>
      </c>
      <c r="E815" s="5" t="s">
        <v>4258</v>
      </c>
      <c r="F815" s="5">
        <v>28</v>
      </c>
      <c r="G815" s="5">
        <v>168</v>
      </c>
    </row>
    <row r="816" spans="1:7" ht="16.5">
      <c r="A816" s="5" t="s">
        <v>4614</v>
      </c>
      <c r="B816" s="10" t="s">
        <v>4615</v>
      </c>
      <c r="C816" s="5" t="s">
        <v>808</v>
      </c>
      <c r="D816" s="5" t="s">
        <v>4616</v>
      </c>
      <c r="E816" s="5" t="s">
        <v>4617</v>
      </c>
      <c r="F816" s="5">
        <v>98</v>
      </c>
      <c r="G816" s="5">
        <v>588</v>
      </c>
    </row>
    <row r="817" spans="1:7" ht="16.5">
      <c r="A817" s="5" t="s">
        <v>4618</v>
      </c>
      <c r="B817" s="10" t="s">
        <v>4619</v>
      </c>
      <c r="C817" s="5" t="s">
        <v>809</v>
      </c>
      <c r="D817" s="5" t="s">
        <v>3864</v>
      </c>
      <c r="E817" s="5" t="s">
        <v>4620</v>
      </c>
      <c r="F817" s="5">
        <v>25</v>
      </c>
      <c r="G817" s="5">
        <v>150</v>
      </c>
    </row>
    <row r="818" spans="1:7" ht="16.5">
      <c r="A818" s="5" t="s">
        <v>4621</v>
      </c>
      <c r="B818" s="10" t="s">
        <v>4622</v>
      </c>
      <c r="C818" s="5" t="s">
        <v>810</v>
      </c>
      <c r="D818" s="5" t="s">
        <v>4623</v>
      </c>
      <c r="E818" s="5" t="s">
        <v>4620</v>
      </c>
      <c r="F818" s="5">
        <v>25</v>
      </c>
      <c r="G818" s="5">
        <v>150</v>
      </c>
    </row>
    <row r="819" spans="1:7" ht="16.5">
      <c r="A819" s="5" t="s">
        <v>4624</v>
      </c>
      <c r="B819" s="10" t="s">
        <v>4625</v>
      </c>
      <c r="C819" s="5" t="s">
        <v>811</v>
      </c>
      <c r="D819" s="5" t="s">
        <v>4626</v>
      </c>
      <c r="E819" s="5" t="s">
        <v>4620</v>
      </c>
      <c r="F819" s="5">
        <v>22</v>
      </c>
      <c r="G819" s="5">
        <v>132</v>
      </c>
    </row>
    <row r="820" spans="1:7" ht="16.5">
      <c r="A820" s="5" t="s">
        <v>4627</v>
      </c>
      <c r="B820" s="10" t="s">
        <v>4628</v>
      </c>
      <c r="C820" s="5" t="s">
        <v>812</v>
      </c>
      <c r="D820" s="5" t="s">
        <v>4629</v>
      </c>
      <c r="E820" s="5" t="s">
        <v>4620</v>
      </c>
      <c r="F820" s="5">
        <v>20</v>
      </c>
      <c r="G820" s="5">
        <v>120</v>
      </c>
    </row>
    <row r="821" spans="1:7" ht="16.5">
      <c r="A821" s="5" t="s">
        <v>4630</v>
      </c>
      <c r="B821" s="10" t="s">
        <v>4631</v>
      </c>
      <c r="C821" s="5" t="s">
        <v>813</v>
      </c>
      <c r="D821" s="5" t="s">
        <v>4632</v>
      </c>
      <c r="E821" s="5" t="s">
        <v>2236</v>
      </c>
      <c r="F821" s="5">
        <v>25</v>
      </c>
      <c r="G821" s="5">
        <v>150</v>
      </c>
    </row>
    <row r="822" spans="1:7" ht="16.5">
      <c r="A822" s="5" t="s">
        <v>4633</v>
      </c>
      <c r="B822" s="10" t="s">
        <v>4634</v>
      </c>
      <c r="C822" s="5" t="s">
        <v>4635</v>
      </c>
      <c r="D822" s="5" t="s">
        <v>4636</v>
      </c>
      <c r="E822" s="5" t="s">
        <v>4637</v>
      </c>
      <c r="F822" s="5">
        <v>25</v>
      </c>
      <c r="G822" s="5">
        <v>150</v>
      </c>
    </row>
    <row r="823" spans="1:7" ht="16.5">
      <c r="A823" s="5" t="s">
        <v>4638</v>
      </c>
      <c r="B823" s="10" t="s">
        <v>4639</v>
      </c>
      <c r="C823" s="5" t="s">
        <v>4640</v>
      </c>
      <c r="D823" s="5" t="s">
        <v>4636</v>
      </c>
      <c r="E823" s="5" t="s">
        <v>4637</v>
      </c>
      <c r="F823" s="5">
        <v>25</v>
      </c>
      <c r="G823" s="5">
        <v>150</v>
      </c>
    </row>
    <row r="824" spans="1:7" ht="16.5">
      <c r="A824" s="5" t="s">
        <v>4641</v>
      </c>
      <c r="B824" s="10" t="s">
        <v>4642</v>
      </c>
      <c r="C824" s="5" t="s">
        <v>814</v>
      </c>
      <c r="D824" s="5" t="s">
        <v>4230</v>
      </c>
      <c r="E824" s="5" t="s">
        <v>4643</v>
      </c>
      <c r="F824" s="5">
        <v>18000</v>
      </c>
      <c r="G824" s="5">
        <v>108000</v>
      </c>
    </row>
    <row r="825" spans="1:7" ht="16.5">
      <c r="A825" s="5" t="s">
        <v>4644</v>
      </c>
      <c r="B825" s="10" t="s">
        <v>4645</v>
      </c>
      <c r="C825" s="5" t="s">
        <v>815</v>
      </c>
      <c r="D825" s="5" t="s">
        <v>4646</v>
      </c>
      <c r="E825" s="5" t="s">
        <v>4647</v>
      </c>
      <c r="F825" s="5">
        <v>16</v>
      </c>
      <c r="G825" s="5">
        <v>96</v>
      </c>
    </row>
    <row r="826" spans="1:7" ht="16.5">
      <c r="A826" s="5" t="s">
        <v>4648</v>
      </c>
      <c r="B826" s="10" t="s">
        <v>4649</v>
      </c>
      <c r="C826" s="5" t="s">
        <v>816</v>
      </c>
      <c r="D826" s="5" t="s">
        <v>4650</v>
      </c>
      <c r="E826" s="5" t="s">
        <v>4647</v>
      </c>
      <c r="F826" s="5">
        <v>38</v>
      </c>
      <c r="G826" s="5">
        <v>228</v>
      </c>
    </row>
    <row r="827" spans="1:7" ht="16.5">
      <c r="A827" s="5" t="s">
        <v>4651</v>
      </c>
      <c r="B827" s="10" t="s">
        <v>4652</v>
      </c>
      <c r="C827" s="5" t="s">
        <v>817</v>
      </c>
      <c r="D827" s="5" t="s">
        <v>4653</v>
      </c>
      <c r="E827" s="5" t="s">
        <v>4654</v>
      </c>
      <c r="F827" s="5">
        <v>25</v>
      </c>
      <c r="G827" s="5">
        <v>150</v>
      </c>
    </row>
    <row r="828" spans="1:7" ht="16.5">
      <c r="A828" s="5" t="s">
        <v>4655</v>
      </c>
      <c r="B828" s="10" t="s">
        <v>4656</v>
      </c>
      <c r="C828" s="5" t="s">
        <v>818</v>
      </c>
      <c r="D828" s="5" t="s">
        <v>4657</v>
      </c>
      <c r="E828" s="5" t="s">
        <v>4654</v>
      </c>
      <c r="F828" s="5">
        <v>25</v>
      </c>
      <c r="G828" s="5">
        <v>150</v>
      </c>
    </row>
    <row r="829" spans="1:7" ht="16.5">
      <c r="A829" s="5" t="s">
        <v>4658</v>
      </c>
      <c r="B829" s="10" t="s">
        <v>4659</v>
      </c>
      <c r="C829" s="5" t="s">
        <v>819</v>
      </c>
      <c r="D829" s="5" t="s">
        <v>4660</v>
      </c>
      <c r="E829" s="5" t="s">
        <v>4654</v>
      </c>
      <c r="F829" s="5">
        <v>28.8</v>
      </c>
      <c r="G829" s="5">
        <v>173</v>
      </c>
    </row>
    <row r="830" spans="1:7" ht="16.5">
      <c r="A830" s="5" t="s">
        <v>4661</v>
      </c>
      <c r="B830" s="10" t="s">
        <v>4662</v>
      </c>
      <c r="C830" s="5" t="s">
        <v>820</v>
      </c>
      <c r="D830" s="5" t="s">
        <v>4663</v>
      </c>
      <c r="E830" s="5" t="s">
        <v>4654</v>
      </c>
      <c r="F830" s="5">
        <v>23</v>
      </c>
      <c r="G830" s="5">
        <v>138</v>
      </c>
    </row>
    <row r="831" spans="1:7" ht="16.5">
      <c r="A831" s="5" t="s">
        <v>4664</v>
      </c>
      <c r="B831" s="10" t="s">
        <v>4665</v>
      </c>
      <c r="C831" s="5" t="s">
        <v>821</v>
      </c>
      <c r="D831" s="5" t="s">
        <v>4666</v>
      </c>
      <c r="E831" s="5" t="s">
        <v>4667</v>
      </c>
      <c r="F831" s="5">
        <v>25</v>
      </c>
      <c r="G831" s="5">
        <v>150</v>
      </c>
    </row>
    <row r="832" spans="1:7" ht="16.5">
      <c r="A832" s="5" t="s">
        <v>4668</v>
      </c>
      <c r="B832" s="10" t="s">
        <v>4669</v>
      </c>
      <c r="C832" s="5" t="s">
        <v>822</v>
      </c>
      <c r="D832" s="5" t="s">
        <v>4670</v>
      </c>
      <c r="E832" s="5" t="s">
        <v>4667</v>
      </c>
      <c r="F832" s="5">
        <v>12</v>
      </c>
      <c r="G832" s="5">
        <v>72</v>
      </c>
    </row>
    <row r="833" spans="1:7" ht="16.5">
      <c r="A833" s="5" t="s">
        <v>4671</v>
      </c>
      <c r="B833" s="10" t="s">
        <v>4672</v>
      </c>
      <c r="C833" s="5" t="s">
        <v>823</v>
      </c>
      <c r="D833" s="5" t="s">
        <v>4673</v>
      </c>
      <c r="E833" s="5" t="s">
        <v>4667</v>
      </c>
      <c r="F833" s="5">
        <v>25</v>
      </c>
      <c r="G833" s="5">
        <v>150</v>
      </c>
    </row>
    <row r="834" spans="1:7" ht="16.5">
      <c r="A834" s="5" t="s">
        <v>4674</v>
      </c>
      <c r="B834" s="10" t="s">
        <v>4675</v>
      </c>
      <c r="C834" s="5" t="s">
        <v>824</v>
      </c>
      <c r="D834" s="5" t="s">
        <v>4676</v>
      </c>
      <c r="E834" s="5" t="s">
        <v>4667</v>
      </c>
      <c r="F834" s="5">
        <v>42</v>
      </c>
      <c r="G834" s="5">
        <v>252</v>
      </c>
    </row>
    <row r="835" spans="1:7" ht="16.5">
      <c r="A835" s="5" t="s">
        <v>4677</v>
      </c>
      <c r="B835" s="10" t="s">
        <v>4678</v>
      </c>
      <c r="C835" s="5" t="s">
        <v>4</v>
      </c>
      <c r="D835" s="5" t="s">
        <v>4679</v>
      </c>
      <c r="E835" s="5" t="s">
        <v>4667</v>
      </c>
      <c r="F835" s="5">
        <v>48</v>
      </c>
      <c r="G835" s="5">
        <v>288</v>
      </c>
    </row>
    <row r="836" spans="1:7" ht="16.5">
      <c r="A836" s="5" t="s">
        <v>4680</v>
      </c>
      <c r="B836" s="10" t="s">
        <v>4681</v>
      </c>
      <c r="C836" s="5" t="s">
        <v>825</v>
      </c>
      <c r="D836" s="5" t="s">
        <v>4682</v>
      </c>
      <c r="E836" s="5" t="s">
        <v>4667</v>
      </c>
      <c r="F836" s="5">
        <v>146</v>
      </c>
      <c r="G836" s="5">
        <v>876</v>
      </c>
    </row>
    <row r="837" spans="1:7" ht="16.5">
      <c r="A837" s="5" t="s">
        <v>4683</v>
      </c>
      <c r="B837" s="10" t="s">
        <v>4684</v>
      </c>
      <c r="C837" s="5" t="s">
        <v>826</v>
      </c>
      <c r="D837" s="5" t="s">
        <v>4685</v>
      </c>
      <c r="E837" s="5" t="s">
        <v>4667</v>
      </c>
      <c r="F837" s="5">
        <v>88</v>
      </c>
      <c r="G837" s="5">
        <v>528</v>
      </c>
    </row>
    <row r="838" spans="1:7" ht="16.5">
      <c r="A838" s="5" t="s">
        <v>4686</v>
      </c>
      <c r="B838" s="10" t="s">
        <v>4687</v>
      </c>
      <c r="C838" s="5" t="s">
        <v>827</v>
      </c>
      <c r="D838" s="5" t="s">
        <v>4688</v>
      </c>
      <c r="E838" s="5" t="s">
        <v>4667</v>
      </c>
      <c r="F838" s="5">
        <v>38</v>
      </c>
      <c r="G838" s="5">
        <v>228</v>
      </c>
    </row>
    <row r="839" spans="1:7" ht="16.5">
      <c r="A839" s="5" t="s">
        <v>4689</v>
      </c>
      <c r="B839" s="10" t="s">
        <v>4690</v>
      </c>
      <c r="C839" s="5" t="s">
        <v>828</v>
      </c>
      <c r="D839" s="5" t="s">
        <v>4691</v>
      </c>
      <c r="E839" s="5" t="s">
        <v>4667</v>
      </c>
      <c r="F839" s="5">
        <v>30</v>
      </c>
      <c r="G839" s="5">
        <v>180</v>
      </c>
    </row>
    <row r="840" spans="1:7" ht="16.5">
      <c r="A840" s="5" t="s">
        <v>4692</v>
      </c>
      <c r="B840" s="10" t="s">
        <v>4693</v>
      </c>
      <c r="C840" s="5" t="s">
        <v>829</v>
      </c>
      <c r="D840" s="5" t="s">
        <v>4694</v>
      </c>
      <c r="E840" s="5" t="s">
        <v>4667</v>
      </c>
      <c r="F840" s="5">
        <v>40</v>
      </c>
      <c r="G840" s="5">
        <v>240</v>
      </c>
    </row>
    <row r="841" spans="1:7" ht="16.5">
      <c r="A841" s="5" t="s">
        <v>4695</v>
      </c>
      <c r="B841" s="10" t="s">
        <v>4696</v>
      </c>
      <c r="C841" s="5" t="s">
        <v>830</v>
      </c>
      <c r="D841" s="5" t="s">
        <v>4697</v>
      </c>
      <c r="E841" s="5" t="s">
        <v>4667</v>
      </c>
      <c r="F841" s="5">
        <v>48</v>
      </c>
      <c r="G841" s="5">
        <v>288</v>
      </c>
    </row>
    <row r="842" spans="1:7" ht="16.5">
      <c r="A842" s="5" t="s">
        <v>4698</v>
      </c>
      <c r="B842" s="10" t="s">
        <v>4699</v>
      </c>
      <c r="C842" s="5" t="s">
        <v>831</v>
      </c>
      <c r="D842" s="5" t="s">
        <v>4700</v>
      </c>
      <c r="E842" s="5" t="s">
        <v>4667</v>
      </c>
      <c r="F842" s="5">
        <v>76</v>
      </c>
      <c r="G842" s="5">
        <v>456</v>
      </c>
    </row>
    <row r="843" spans="1:7" ht="16.5">
      <c r="A843" s="5" t="s">
        <v>4701</v>
      </c>
      <c r="B843" s="10" t="s">
        <v>4702</v>
      </c>
      <c r="C843" s="5" t="s">
        <v>832</v>
      </c>
      <c r="D843" s="5" t="s">
        <v>4703</v>
      </c>
      <c r="E843" s="5" t="s">
        <v>4667</v>
      </c>
      <c r="F843" s="5">
        <v>48</v>
      </c>
      <c r="G843" s="5">
        <v>288</v>
      </c>
    </row>
    <row r="844" spans="1:7" ht="16.5">
      <c r="A844" s="5" t="s">
        <v>4704</v>
      </c>
      <c r="B844" s="10" t="s">
        <v>4705</v>
      </c>
      <c r="C844" s="5" t="s">
        <v>833</v>
      </c>
      <c r="D844" s="5" t="s">
        <v>4230</v>
      </c>
      <c r="E844" s="5" t="s">
        <v>4667</v>
      </c>
      <c r="F844" s="5">
        <v>900</v>
      </c>
      <c r="G844" s="5">
        <v>5400</v>
      </c>
    </row>
    <row r="845" spans="1:7" ht="16.5">
      <c r="A845" s="5" t="s">
        <v>4706</v>
      </c>
      <c r="B845" s="10" t="s">
        <v>4707</v>
      </c>
      <c r="C845" s="5" t="s">
        <v>834</v>
      </c>
      <c r="D845" s="5" t="s">
        <v>4708</v>
      </c>
      <c r="E845" s="5" t="s">
        <v>4667</v>
      </c>
      <c r="F845" s="5">
        <v>32</v>
      </c>
      <c r="G845" s="5">
        <v>192</v>
      </c>
    </row>
    <row r="846" spans="1:7" ht="16.5">
      <c r="A846" s="5" t="s">
        <v>4709</v>
      </c>
      <c r="B846" s="10" t="s">
        <v>4710</v>
      </c>
      <c r="C846" s="5" t="s">
        <v>835</v>
      </c>
      <c r="D846" s="5" t="s">
        <v>4711</v>
      </c>
      <c r="E846" s="5" t="s">
        <v>4667</v>
      </c>
      <c r="F846" s="5">
        <v>39</v>
      </c>
      <c r="G846" s="5">
        <v>234</v>
      </c>
    </row>
    <row r="847" spans="1:7" ht="16.5">
      <c r="A847" s="5" t="s">
        <v>4712</v>
      </c>
      <c r="B847" s="10" t="s">
        <v>4713</v>
      </c>
      <c r="C847" s="5" t="s">
        <v>836</v>
      </c>
      <c r="D847" s="5" t="s">
        <v>4714</v>
      </c>
      <c r="E847" s="5" t="s">
        <v>4715</v>
      </c>
      <c r="F847" s="5">
        <v>28</v>
      </c>
      <c r="G847" s="5">
        <v>168</v>
      </c>
    </row>
    <row r="848" spans="1:7" ht="16.5">
      <c r="A848" s="5" t="s">
        <v>4716</v>
      </c>
      <c r="B848" s="10" t="s">
        <v>4717</v>
      </c>
      <c r="C848" s="5" t="s">
        <v>837</v>
      </c>
      <c r="D848" s="5" t="s">
        <v>4718</v>
      </c>
      <c r="E848" s="5" t="s">
        <v>4715</v>
      </c>
      <c r="F848" s="5">
        <v>29</v>
      </c>
      <c r="G848" s="5">
        <v>174</v>
      </c>
    </row>
    <row r="849" spans="1:7" ht="16.5">
      <c r="A849" s="5" t="s">
        <v>4719</v>
      </c>
      <c r="B849" s="10" t="s">
        <v>4720</v>
      </c>
      <c r="C849" s="5" t="s">
        <v>838</v>
      </c>
      <c r="D849" s="5" t="s">
        <v>4718</v>
      </c>
      <c r="E849" s="5" t="s">
        <v>4715</v>
      </c>
      <c r="F849" s="5">
        <v>28</v>
      </c>
      <c r="G849" s="5">
        <v>168</v>
      </c>
    </row>
    <row r="850" spans="1:7" ht="16.5">
      <c r="A850" s="5" t="s">
        <v>4721</v>
      </c>
      <c r="B850" s="10" t="s">
        <v>4722</v>
      </c>
      <c r="C850" s="5" t="s">
        <v>839</v>
      </c>
      <c r="D850" s="5" t="s">
        <v>4723</v>
      </c>
      <c r="E850" s="5" t="s">
        <v>4715</v>
      </c>
      <c r="F850" s="5">
        <v>35</v>
      </c>
      <c r="G850" s="5">
        <v>210</v>
      </c>
    </row>
    <row r="851" spans="1:7" ht="16.5">
      <c r="A851" s="5" t="s">
        <v>4724</v>
      </c>
      <c r="B851" s="10" t="s">
        <v>4725</v>
      </c>
      <c r="C851" s="5" t="s">
        <v>840</v>
      </c>
      <c r="D851" s="5" t="s">
        <v>4726</v>
      </c>
      <c r="E851" s="5" t="s">
        <v>4715</v>
      </c>
      <c r="F851" s="5">
        <v>22</v>
      </c>
      <c r="G851" s="5">
        <v>132</v>
      </c>
    </row>
    <row r="852" spans="1:7" ht="16.5">
      <c r="A852" s="5" t="s">
        <v>4727</v>
      </c>
      <c r="B852" s="10" t="s">
        <v>4728</v>
      </c>
      <c r="C852" s="5" t="s">
        <v>841</v>
      </c>
      <c r="D852" s="5" t="s">
        <v>4729</v>
      </c>
      <c r="E852" s="5" t="s">
        <v>4715</v>
      </c>
      <c r="F852" s="5">
        <v>36</v>
      </c>
      <c r="G852" s="5">
        <v>216</v>
      </c>
    </row>
    <row r="853" spans="1:7" ht="16.5">
      <c r="A853" s="5" t="s">
        <v>4730</v>
      </c>
      <c r="B853" s="10" t="s">
        <v>4731</v>
      </c>
      <c r="C853" s="5" t="s">
        <v>842</v>
      </c>
      <c r="D853" s="5" t="s">
        <v>4732</v>
      </c>
      <c r="E853" s="5" t="s">
        <v>4715</v>
      </c>
      <c r="F853" s="5">
        <v>30</v>
      </c>
      <c r="G853" s="5">
        <v>180</v>
      </c>
    </row>
    <row r="854" spans="1:7" ht="16.5">
      <c r="A854" s="5" t="s">
        <v>4733</v>
      </c>
      <c r="B854" s="10" t="s">
        <v>4734</v>
      </c>
      <c r="C854" s="5" t="s">
        <v>843</v>
      </c>
      <c r="D854" s="5" t="s">
        <v>4735</v>
      </c>
      <c r="E854" s="5" t="s">
        <v>4715</v>
      </c>
      <c r="F854" s="5">
        <v>35</v>
      </c>
      <c r="G854" s="5">
        <v>210</v>
      </c>
    </row>
    <row r="855" spans="1:7" ht="16.5">
      <c r="A855" s="5" t="s">
        <v>4736</v>
      </c>
      <c r="B855" s="10" t="s">
        <v>4737</v>
      </c>
      <c r="C855" s="5" t="s">
        <v>844</v>
      </c>
      <c r="D855" s="5" t="s">
        <v>4738</v>
      </c>
      <c r="E855" s="5" t="s">
        <v>4715</v>
      </c>
      <c r="F855" s="5">
        <v>30</v>
      </c>
      <c r="G855" s="5">
        <v>180</v>
      </c>
    </row>
    <row r="856" spans="1:7" ht="16.5">
      <c r="A856" s="5" t="s">
        <v>4739</v>
      </c>
      <c r="B856" s="10" t="s">
        <v>4740</v>
      </c>
      <c r="C856" s="5" t="s">
        <v>845</v>
      </c>
      <c r="D856" s="5" t="s">
        <v>4741</v>
      </c>
      <c r="E856" s="5" t="s">
        <v>4715</v>
      </c>
      <c r="F856" s="5">
        <v>32</v>
      </c>
      <c r="G856" s="5">
        <v>192</v>
      </c>
    </row>
    <row r="857" spans="1:7" ht="16.5">
      <c r="A857" s="5" t="s">
        <v>4742</v>
      </c>
      <c r="B857" s="10" t="s">
        <v>4743</v>
      </c>
      <c r="C857" s="5" t="s">
        <v>846</v>
      </c>
      <c r="D857" s="5" t="s">
        <v>4744</v>
      </c>
      <c r="E857" s="5" t="s">
        <v>4715</v>
      </c>
      <c r="F857" s="5">
        <v>24</v>
      </c>
      <c r="G857" s="5">
        <v>144</v>
      </c>
    </row>
    <row r="858" spans="1:7" ht="16.5">
      <c r="A858" s="5" t="s">
        <v>4745</v>
      </c>
      <c r="B858" s="10" t="s">
        <v>4746</v>
      </c>
      <c r="C858" s="5" t="s">
        <v>847</v>
      </c>
      <c r="D858" s="5" t="s">
        <v>4747</v>
      </c>
      <c r="E858" s="5" t="s">
        <v>4715</v>
      </c>
      <c r="F858" s="5">
        <v>32</v>
      </c>
      <c r="G858" s="5">
        <v>192</v>
      </c>
    </row>
    <row r="859" spans="1:7" ht="16.5">
      <c r="A859" s="5" t="s">
        <v>4748</v>
      </c>
      <c r="B859" s="10" t="s">
        <v>4749</v>
      </c>
      <c r="C859" s="5" t="s">
        <v>848</v>
      </c>
      <c r="D859" s="5" t="s">
        <v>4747</v>
      </c>
      <c r="E859" s="5" t="s">
        <v>4715</v>
      </c>
      <c r="F859" s="5">
        <v>32</v>
      </c>
      <c r="G859" s="5">
        <v>192</v>
      </c>
    </row>
    <row r="860" spans="1:7" ht="16.5">
      <c r="A860" s="5" t="s">
        <v>4750</v>
      </c>
      <c r="B860" s="10" t="s">
        <v>4751</v>
      </c>
      <c r="C860" s="5" t="s">
        <v>849</v>
      </c>
      <c r="D860" s="5" t="s">
        <v>2607</v>
      </c>
      <c r="E860" s="5" t="s">
        <v>4715</v>
      </c>
      <c r="F860" s="5">
        <v>30</v>
      </c>
      <c r="G860" s="5">
        <v>180</v>
      </c>
    </row>
    <row r="861" spans="1:7" ht="16.5">
      <c r="A861" s="5" t="s">
        <v>4752</v>
      </c>
      <c r="B861" s="10" t="s">
        <v>4753</v>
      </c>
      <c r="C861" s="5" t="s">
        <v>850</v>
      </c>
      <c r="D861" s="5" t="s">
        <v>4754</v>
      </c>
      <c r="E861" s="5" t="s">
        <v>4715</v>
      </c>
      <c r="F861" s="5">
        <v>21</v>
      </c>
      <c r="G861" s="5">
        <v>126</v>
      </c>
    </row>
    <row r="862" spans="1:7" ht="16.5">
      <c r="A862" s="5" t="s">
        <v>4755</v>
      </c>
      <c r="B862" s="10" t="s">
        <v>4756</v>
      </c>
      <c r="C862" s="5" t="s">
        <v>851</v>
      </c>
      <c r="D862" s="5" t="s">
        <v>4757</v>
      </c>
      <c r="E862" s="5" t="s">
        <v>4715</v>
      </c>
      <c r="F862" s="5">
        <v>14.5</v>
      </c>
      <c r="G862" s="5">
        <v>87</v>
      </c>
    </row>
    <row r="863" spans="1:7" ht="16.5">
      <c r="A863" s="5" t="s">
        <v>4758</v>
      </c>
      <c r="B863" s="10" t="s">
        <v>4759</v>
      </c>
      <c r="C863" s="5" t="s">
        <v>852</v>
      </c>
      <c r="D863" s="5" t="s">
        <v>2607</v>
      </c>
      <c r="E863" s="5" t="s">
        <v>4715</v>
      </c>
      <c r="F863" s="5">
        <v>38</v>
      </c>
      <c r="G863" s="5">
        <v>228</v>
      </c>
    </row>
    <row r="864" spans="1:7" ht="16.5">
      <c r="A864" s="5" t="s">
        <v>4760</v>
      </c>
      <c r="B864" s="10" t="s">
        <v>4761</v>
      </c>
      <c r="C864" s="5" t="s">
        <v>853</v>
      </c>
      <c r="D864" s="5" t="s">
        <v>4762</v>
      </c>
      <c r="E864" s="5" t="s">
        <v>4715</v>
      </c>
      <c r="F864" s="5">
        <v>18</v>
      </c>
      <c r="G864" s="5">
        <v>108</v>
      </c>
    </row>
    <row r="865" spans="1:7" ht="16.5">
      <c r="A865" s="5" t="s">
        <v>4763</v>
      </c>
      <c r="B865" s="10" t="s">
        <v>4764</v>
      </c>
      <c r="C865" s="5" t="s">
        <v>854</v>
      </c>
      <c r="D865" s="5" t="s">
        <v>4765</v>
      </c>
      <c r="E865" s="5" t="s">
        <v>4715</v>
      </c>
      <c r="F865" s="5">
        <v>22</v>
      </c>
      <c r="G865" s="5">
        <v>132</v>
      </c>
    </row>
    <row r="866" spans="1:7" ht="16.5">
      <c r="A866" s="5" t="s">
        <v>4766</v>
      </c>
      <c r="B866" s="10" t="s">
        <v>4767</v>
      </c>
      <c r="C866" s="5" t="s">
        <v>855</v>
      </c>
      <c r="D866" s="5" t="s">
        <v>4768</v>
      </c>
      <c r="E866" s="5" t="s">
        <v>4715</v>
      </c>
      <c r="F866" s="5">
        <v>28</v>
      </c>
      <c r="G866" s="5">
        <v>168</v>
      </c>
    </row>
    <row r="867" spans="1:7" ht="16.5">
      <c r="A867" s="5" t="s">
        <v>4769</v>
      </c>
      <c r="B867" s="10" t="s">
        <v>4770</v>
      </c>
      <c r="C867" s="5" t="s">
        <v>856</v>
      </c>
      <c r="D867" s="5" t="s">
        <v>4771</v>
      </c>
      <c r="E867" s="5" t="s">
        <v>4715</v>
      </c>
      <c r="F867" s="5">
        <v>25</v>
      </c>
      <c r="G867" s="5">
        <v>150</v>
      </c>
    </row>
    <row r="868" spans="1:7" ht="16.5">
      <c r="A868" s="5" t="s">
        <v>4772</v>
      </c>
      <c r="B868" s="10" t="s">
        <v>4773</v>
      </c>
      <c r="C868" s="5" t="s">
        <v>857</v>
      </c>
      <c r="D868" s="5" t="s">
        <v>2583</v>
      </c>
      <c r="E868" s="5" t="s">
        <v>4715</v>
      </c>
      <c r="F868" s="5">
        <v>26</v>
      </c>
      <c r="G868" s="5">
        <v>156</v>
      </c>
    </row>
    <row r="869" spans="1:7" ht="16.5">
      <c r="A869" s="5" t="s">
        <v>4774</v>
      </c>
      <c r="B869" s="10" t="s">
        <v>4775</v>
      </c>
      <c r="C869" s="5" t="s">
        <v>858</v>
      </c>
      <c r="D869" s="5" t="s">
        <v>4776</v>
      </c>
      <c r="E869" s="5" t="s">
        <v>4715</v>
      </c>
      <c r="F869" s="5">
        <v>21</v>
      </c>
      <c r="G869" s="5">
        <v>126</v>
      </c>
    </row>
    <row r="870" spans="1:7" ht="16.5">
      <c r="A870" s="5" t="s">
        <v>4777</v>
      </c>
      <c r="B870" s="10" t="s">
        <v>4778</v>
      </c>
      <c r="C870" s="5" t="s">
        <v>859</v>
      </c>
      <c r="D870" s="5" t="s">
        <v>4779</v>
      </c>
      <c r="E870" s="5" t="s">
        <v>4715</v>
      </c>
      <c r="F870" s="5">
        <v>16</v>
      </c>
      <c r="G870" s="5">
        <v>96</v>
      </c>
    </row>
    <row r="871" spans="1:7" ht="16.5">
      <c r="A871" s="5" t="s">
        <v>4780</v>
      </c>
      <c r="B871" s="10" t="s">
        <v>4781</v>
      </c>
      <c r="C871" s="5" t="s">
        <v>860</v>
      </c>
      <c r="D871" s="5" t="s">
        <v>2583</v>
      </c>
      <c r="E871" s="5" t="s">
        <v>4715</v>
      </c>
      <c r="F871" s="5">
        <v>42</v>
      </c>
      <c r="G871" s="5">
        <v>252</v>
      </c>
    </row>
    <row r="872" spans="1:7" ht="16.5">
      <c r="A872" s="5" t="s">
        <v>4782</v>
      </c>
      <c r="B872" s="10" t="s">
        <v>4783</v>
      </c>
      <c r="C872" s="5" t="s">
        <v>861</v>
      </c>
      <c r="D872" s="5" t="s">
        <v>4784</v>
      </c>
      <c r="E872" s="5" t="s">
        <v>4715</v>
      </c>
      <c r="F872" s="5">
        <v>36</v>
      </c>
      <c r="G872" s="5">
        <v>216</v>
      </c>
    </row>
    <row r="873" spans="1:7" ht="16.5">
      <c r="A873" s="5" t="s">
        <v>4785</v>
      </c>
      <c r="B873" s="10" t="s">
        <v>4786</v>
      </c>
      <c r="C873" s="5" t="s">
        <v>862</v>
      </c>
      <c r="D873" s="5" t="s">
        <v>2583</v>
      </c>
      <c r="E873" s="5" t="s">
        <v>4715</v>
      </c>
      <c r="F873" s="5">
        <v>42</v>
      </c>
      <c r="G873" s="5">
        <v>252</v>
      </c>
    </row>
    <row r="874" spans="1:7" ht="16.5">
      <c r="A874" s="5" t="s">
        <v>4787</v>
      </c>
      <c r="B874" s="10" t="s">
        <v>4788</v>
      </c>
      <c r="C874" s="5" t="s">
        <v>863</v>
      </c>
      <c r="D874" s="5" t="s">
        <v>4789</v>
      </c>
      <c r="E874" s="5" t="s">
        <v>4715</v>
      </c>
      <c r="F874" s="5">
        <v>16.8</v>
      </c>
      <c r="G874" s="5">
        <v>101</v>
      </c>
    </row>
    <row r="875" spans="1:7" ht="16.5">
      <c r="A875" s="5" t="s">
        <v>4790</v>
      </c>
      <c r="B875" s="10" t="s">
        <v>4791</v>
      </c>
      <c r="C875" s="5" t="s">
        <v>864</v>
      </c>
      <c r="D875" s="5" t="s">
        <v>4792</v>
      </c>
      <c r="E875" s="5" t="s">
        <v>4793</v>
      </c>
      <c r="F875" s="5">
        <v>32</v>
      </c>
      <c r="G875" s="5">
        <v>192</v>
      </c>
    </row>
    <row r="876" spans="1:7" ht="16.5">
      <c r="A876" s="5" t="s">
        <v>4794</v>
      </c>
      <c r="B876" s="10" t="s">
        <v>4795</v>
      </c>
      <c r="C876" s="5" t="s">
        <v>865</v>
      </c>
      <c r="D876" s="5" t="s">
        <v>2583</v>
      </c>
      <c r="E876" s="5" t="s">
        <v>4793</v>
      </c>
      <c r="F876" s="5">
        <v>49.8</v>
      </c>
      <c r="G876" s="5">
        <v>299</v>
      </c>
    </row>
    <row r="877" spans="1:7" ht="16.5">
      <c r="A877" s="5" t="s">
        <v>4796</v>
      </c>
      <c r="B877" s="10" t="s">
        <v>4797</v>
      </c>
      <c r="C877" s="5" t="s">
        <v>866</v>
      </c>
      <c r="D877" s="5" t="s">
        <v>4798</v>
      </c>
      <c r="E877" s="5" t="s">
        <v>4793</v>
      </c>
      <c r="F877" s="5">
        <v>29.8</v>
      </c>
      <c r="G877" s="5">
        <v>179</v>
      </c>
    </row>
    <row r="878" spans="1:7" ht="16.5">
      <c r="A878" s="5" t="s">
        <v>4799</v>
      </c>
      <c r="B878" s="10" t="s">
        <v>4800</v>
      </c>
      <c r="C878" s="5" t="s">
        <v>867</v>
      </c>
      <c r="D878" s="5" t="s">
        <v>4798</v>
      </c>
      <c r="E878" s="5" t="s">
        <v>4793</v>
      </c>
      <c r="F878" s="5">
        <v>29.8</v>
      </c>
      <c r="G878" s="5">
        <v>179</v>
      </c>
    </row>
    <row r="879" spans="1:7" ht="16.5">
      <c r="A879" s="5" t="s">
        <v>4801</v>
      </c>
      <c r="B879" s="10" t="s">
        <v>4802</v>
      </c>
      <c r="C879" s="5" t="s">
        <v>868</v>
      </c>
      <c r="D879" s="5" t="s">
        <v>4798</v>
      </c>
      <c r="E879" s="5" t="s">
        <v>4793</v>
      </c>
      <c r="F879" s="5">
        <v>29.8</v>
      </c>
      <c r="G879" s="5">
        <v>179</v>
      </c>
    </row>
    <row r="880" spans="1:7" ht="16.5">
      <c r="A880" s="5" t="s">
        <v>4803</v>
      </c>
      <c r="B880" s="10" t="s">
        <v>4804</v>
      </c>
      <c r="C880" s="5" t="s">
        <v>869</v>
      </c>
      <c r="D880" s="5" t="s">
        <v>4805</v>
      </c>
      <c r="E880" s="5" t="s">
        <v>4806</v>
      </c>
      <c r="F880" s="5">
        <v>32</v>
      </c>
      <c r="G880" s="5">
        <v>192</v>
      </c>
    </row>
    <row r="881" spans="1:7" ht="16.5">
      <c r="A881" s="5" t="s">
        <v>4807</v>
      </c>
      <c r="B881" s="10" t="s">
        <v>4808</v>
      </c>
      <c r="C881" s="5" t="s">
        <v>870</v>
      </c>
      <c r="D881" s="5" t="s">
        <v>4809</v>
      </c>
      <c r="E881" s="5" t="s">
        <v>4810</v>
      </c>
      <c r="F881" s="5">
        <v>58</v>
      </c>
      <c r="G881" s="5">
        <v>348</v>
      </c>
    </row>
    <row r="882" spans="1:7" ht="16.5">
      <c r="A882" s="5" t="s">
        <v>4811</v>
      </c>
      <c r="B882" s="10" t="s">
        <v>4812</v>
      </c>
      <c r="C882" s="5" t="s">
        <v>871</v>
      </c>
      <c r="D882" s="5" t="s">
        <v>4813</v>
      </c>
      <c r="E882" s="5" t="s">
        <v>4810</v>
      </c>
      <c r="F882" s="5">
        <v>28</v>
      </c>
      <c r="G882" s="5">
        <v>168</v>
      </c>
    </row>
    <row r="883" spans="1:7" ht="16.5">
      <c r="A883" s="5" t="s">
        <v>4814</v>
      </c>
      <c r="B883" s="10" t="s">
        <v>4815</v>
      </c>
      <c r="C883" s="5" t="s">
        <v>872</v>
      </c>
      <c r="D883" s="5" t="s">
        <v>4813</v>
      </c>
      <c r="E883" s="5" t="s">
        <v>4810</v>
      </c>
      <c r="F883" s="5">
        <v>28</v>
      </c>
      <c r="G883" s="5">
        <v>168</v>
      </c>
    </row>
    <row r="884" spans="1:7" ht="16.5">
      <c r="A884" s="5" t="s">
        <v>4816</v>
      </c>
      <c r="B884" s="10" t="s">
        <v>4817</v>
      </c>
      <c r="C884" s="5" t="s">
        <v>873</v>
      </c>
      <c r="D884" s="5" t="s">
        <v>4813</v>
      </c>
      <c r="E884" s="5" t="s">
        <v>4810</v>
      </c>
      <c r="F884" s="5">
        <v>28</v>
      </c>
      <c r="G884" s="5">
        <v>168</v>
      </c>
    </row>
    <row r="885" spans="1:7" ht="16.5">
      <c r="A885" s="5" t="s">
        <v>4818</v>
      </c>
      <c r="B885" s="10" t="s">
        <v>4819</v>
      </c>
      <c r="C885" s="5" t="s">
        <v>874</v>
      </c>
      <c r="D885" s="5" t="s">
        <v>4820</v>
      </c>
      <c r="E885" s="5" t="s">
        <v>4821</v>
      </c>
      <c r="F885" s="5">
        <v>36</v>
      </c>
      <c r="G885" s="5">
        <v>216</v>
      </c>
    </row>
    <row r="886" spans="1:7" ht="16.5">
      <c r="A886" s="5" t="s">
        <v>4822</v>
      </c>
      <c r="B886" s="10" t="s">
        <v>4823</v>
      </c>
      <c r="C886" s="5" t="s">
        <v>875</v>
      </c>
      <c r="D886" s="5" t="s">
        <v>4824</v>
      </c>
      <c r="E886" s="5" t="s">
        <v>4821</v>
      </c>
      <c r="F886" s="5">
        <v>38</v>
      </c>
      <c r="G886" s="5">
        <v>228</v>
      </c>
    </row>
    <row r="887" spans="1:7" ht="16.5">
      <c r="A887" s="5" t="s">
        <v>4825</v>
      </c>
      <c r="B887" s="10" t="s">
        <v>4826</v>
      </c>
      <c r="C887" s="5" t="s">
        <v>876</v>
      </c>
      <c r="D887" s="5" t="s">
        <v>4827</v>
      </c>
      <c r="E887" s="5" t="s">
        <v>4821</v>
      </c>
      <c r="F887" s="5">
        <v>34</v>
      </c>
      <c r="G887" s="5">
        <v>204</v>
      </c>
    </row>
    <row r="888" spans="1:7" ht="16.5">
      <c r="A888" s="5" t="s">
        <v>4828</v>
      </c>
      <c r="B888" s="10" t="s">
        <v>4829</v>
      </c>
      <c r="C888" s="5" t="s">
        <v>877</v>
      </c>
      <c r="D888" s="5" t="s">
        <v>4830</v>
      </c>
      <c r="E888" s="5" t="s">
        <v>4831</v>
      </c>
      <c r="F888" s="5">
        <v>32</v>
      </c>
      <c r="G888" s="5">
        <v>192</v>
      </c>
    </row>
    <row r="889" spans="1:7" ht="16.5">
      <c r="A889" s="5" t="s">
        <v>4832</v>
      </c>
      <c r="B889" s="10" t="s">
        <v>4833</v>
      </c>
      <c r="C889" s="5" t="s">
        <v>878</v>
      </c>
      <c r="D889" s="5" t="s">
        <v>4834</v>
      </c>
      <c r="E889" s="5" t="s">
        <v>4831</v>
      </c>
      <c r="F889" s="5">
        <v>20</v>
      </c>
      <c r="G889" s="5">
        <v>120</v>
      </c>
    </row>
    <row r="890" spans="1:7" ht="16.5">
      <c r="A890" s="5" t="s">
        <v>4835</v>
      </c>
      <c r="B890" s="10" t="s">
        <v>4836</v>
      </c>
      <c r="C890" s="5" t="s">
        <v>879</v>
      </c>
      <c r="D890" s="5" t="s">
        <v>4837</v>
      </c>
      <c r="E890" s="5" t="s">
        <v>4831</v>
      </c>
      <c r="F890" s="5">
        <v>25</v>
      </c>
      <c r="G890" s="5">
        <v>150</v>
      </c>
    </row>
    <row r="891" spans="1:7" ht="16.5">
      <c r="A891" s="5" t="s">
        <v>4838</v>
      </c>
      <c r="B891" s="10" t="s">
        <v>4839</v>
      </c>
      <c r="C891" s="5" t="s">
        <v>880</v>
      </c>
      <c r="D891" s="5" t="s">
        <v>4840</v>
      </c>
      <c r="E891" s="5" t="s">
        <v>4841</v>
      </c>
      <c r="F891" s="5">
        <v>13</v>
      </c>
      <c r="G891" s="5">
        <v>78</v>
      </c>
    </row>
    <row r="892" spans="1:7" ht="16.5">
      <c r="A892" s="5" t="s">
        <v>4842</v>
      </c>
      <c r="B892" s="10" t="s">
        <v>4843</v>
      </c>
      <c r="C892" s="5" t="s">
        <v>881</v>
      </c>
      <c r="D892" s="5" t="s">
        <v>4844</v>
      </c>
      <c r="E892" s="5" t="s">
        <v>4841</v>
      </c>
      <c r="F892" s="5">
        <v>12</v>
      </c>
      <c r="G892" s="5">
        <v>72</v>
      </c>
    </row>
    <row r="893" spans="1:7" ht="16.5">
      <c r="A893" s="5" t="s">
        <v>4845</v>
      </c>
      <c r="B893" s="10" t="s">
        <v>4846</v>
      </c>
      <c r="C893" s="5" t="s">
        <v>882</v>
      </c>
      <c r="D893" s="5" t="s">
        <v>4847</v>
      </c>
      <c r="E893" s="5" t="s">
        <v>4841</v>
      </c>
      <c r="F893" s="5">
        <v>26</v>
      </c>
      <c r="G893" s="5">
        <v>156</v>
      </c>
    </row>
    <row r="894" spans="1:7" ht="16.5">
      <c r="A894" s="5" t="s">
        <v>4848</v>
      </c>
      <c r="B894" s="10" t="s">
        <v>4849</v>
      </c>
      <c r="C894" s="5" t="s">
        <v>883</v>
      </c>
      <c r="D894" s="5" t="s">
        <v>4850</v>
      </c>
      <c r="E894" s="5" t="s">
        <v>4841</v>
      </c>
      <c r="F894" s="5">
        <v>23</v>
      </c>
      <c r="G894" s="5">
        <v>138</v>
      </c>
    </row>
    <row r="895" spans="1:7" ht="16.5">
      <c r="A895" s="5" t="s">
        <v>4851</v>
      </c>
      <c r="B895" s="10" t="s">
        <v>4852</v>
      </c>
      <c r="C895" s="5" t="s">
        <v>884</v>
      </c>
      <c r="D895" s="5" t="s">
        <v>4853</v>
      </c>
      <c r="E895" s="5" t="s">
        <v>4841</v>
      </c>
      <c r="F895" s="5">
        <v>23</v>
      </c>
      <c r="G895" s="5">
        <v>138</v>
      </c>
    </row>
    <row r="896" spans="1:7" ht="16.5">
      <c r="A896" s="5" t="s">
        <v>4854</v>
      </c>
      <c r="B896" s="10" t="s">
        <v>4855</v>
      </c>
      <c r="C896" s="5" t="s">
        <v>885</v>
      </c>
      <c r="D896" s="5" t="s">
        <v>4856</v>
      </c>
      <c r="E896" s="5" t="s">
        <v>4841</v>
      </c>
      <c r="F896" s="5">
        <v>28</v>
      </c>
      <c r="G896" s="5">
        <v>168</v>
      </c>
    </row>
    <row r="897" spans="1:7" ht="16.5">
      <c r="A897" s="5" t="s">
        <v>4857</v>
      </c>
      <c r="B897" s="10" t="s">
        <v>4858</v>
      </c>
      <c r="C897" s="5" t="s">
        <v>886</v>
      </c>
      <c r="D897" s="5" t="s">
        <v>2607</v>
      </c>
      <c r="E897" s="5" t="s">
        <v>4841</v>
      </c>
      <c r="F897" s="5">
        <v>32</v>
      </c>
      <c r="G897" s="5">
        <v>192</v>
      </c>
    </row>
    <row r="898" spans="1:7" ht="16.5">
      <c r="A898" s="5" t="s">
        <v>4859</v>
      </c>
      <c r="B898" s="10" t="s">
        <v>4860</v>
      </c>
      <c r="C898" s="5" t="s">
        <v>887</v>
      </c>
      <c r="D898" s="5" t="s">
        <v>4861</v>
      </c>
      <c r="E898" s="5" t="s">
        <v>4841</v>
      </c>
      <c r="F898" s="5">
        <v>26</v>
      </c>
      <c r="G898" s="5">
        <v>156</v>
      </c>
    </row>
    <row r="899" spans="1:7" ht="16.5">
      <c r="A899" s="5" t="s">
        <v>4862</v>
      </c>
      <c r="B899" s="10" t="s">
        <v>4863</v>
      </c>
      <c r="C899" s="5" t="s">
        <v>888</v>
      </c>
      <c r="D899" s="5" t="s">
        <v>4864</v>
      </c>
      <c r="E899" s="5" t="s">
        <v>4865</v>
      </c>
      <c r="F899" s="5">
        <v>58</v>
      </c>
      <c r="G899" s="5">
        <v>348</v>
      </c>
    </row>
    <row r="900" spans="1:7" ht="16.5">
      <c r="A900" s="5" t="s">
        <v>4866</v>
      </c>
      <c r="B900" s="10" t="s">
        <v>4867</v>
      </c>
      <c r="C900" s="5" t="s">
        <v>889</v>
      </c>
      <c r="D900" s="5" t="s">
        <v>4864</v>
      </c>
      <c r="E900" s="5" t="s">
        <v>4865</v>
      </c>
      <c r="F900" s="5">
        <v>58</v>
      </c>
      <c r="G900" s="5">
        <v>348</v>
      </c>
    </row>
    <row r="901" spans="1:7" ht="16.5">
      <c r="A901" s="5" t="s">
        <v>4868</v>
      </c>
      <c r="B901" s="10" t="s">
        <v>4869</v>
      </c>
      <c r="C901" s="5" t="s">
        <v>890</v>
      </c>
      <c r="D901" s="5" t="s">
        <v>4870</v>
      </c>
      <c r="E901" s="5" t="s">
        <v>4871</v>
      </c>
      <c r="F901" s="5">
        <v>30</v>
      </c>
      <c r="G901" s="5">
        <v>180</v>
      </c>
    </row>
    <row r="902" spans="1:7" ht="16.5">
      <c r="A902" s="5" t="s">
        <v>4872</v>
      </c>
      <c r="B902" s="10" t="s">
        <v>4873</v>
      </c>
      <c r="C902" s="5" t="s">
        <v>891</v>
      </c>
      <c r="D902" s="5" t="s">
        <v>4874</v>
      </c>
      <c r="E902" s="5" t="s">
        <v>4871</v>
      </c>
      <c r="F902" s="5">
        <v>298</v>
      </c>
      <c r="G902" s="5">
        <v>1788</v>
      </c>
    </row>
    <row r="903" spans="1:7" ht="16.5">
      <c r="A903" s="5" t="s">
        <v>4875</v>
      </c>
      <c r="B903" s="10" t="s">
        <v>4876</v>
      </c>
      <c r="C903" s="5" t="s">
        <v>892</v>
      </c>
      <c r="D903" s="5" t="s">
        <v>4877</v>
      </c>
      <c r="E903" s="5" t="s">
        <v>4878</v>
      </c>
      <c r="F903" s="5">
        <v>48</v>
      </c>
      <c r="G903" s="5">
        <v>288</v>
      </c>
    </row>
    <row r="904" spans="1:7" ht="16.5">
      <c r="A904" s="5" t="s">
        <v>4879</v>
      </c>
      <c r="B904" s="10" t="s">
        <v>4880</v>
      </c>
      <c r="C904" s="5" t="s">
        <v>893</v>
      </c>
      <c r="D904" s="5" t="s">
        <v>4881</v>
      </c>
      <c r="E904" s="5" t="s">
        <v>4882</v>
      </c>
      <c r="F904" s="5">
        <v>39</v>
      </c>
      <c r="G904" s="5">
        <v>234</v>
      </c>
    </row>
    <row r="905" spans="1:7" ht="16.5">
      <c r="A905" s="5" t="s">
        <v>4883</v>
      </c>
      <c r="B905" s="10" t="s">
        <v>4884</v>
      </c>
      <c r="C905" s="5" t="s">
        <v>894</v>
      </c>
      <c r="D905" s="5" t="s">
        <v>4885</v>
      </c>
      <c r="E905" s="5" t="s">
        <v>4882</v>
      </c>
      <c r="F905" s="5">
        <v>45</v>
      </c>
      <c r="G905" s="5">
        <v>270</v>
      </c>
    </row>
    <row r="906" spans="1:7" ht="16.5">
      <c r="A906" s="5" t="s">
        <v>4886</v>
      </c>
      <c r="B906" s="10" t="s">
        <v>4887</v>
      </c>
      <c r="C906" s="5" t="s">
        <v>4888</v>
      </c>
      <c r="D906" s="5" t="s">
        <v>4889</v>
      </c>
      <c r="E906" s="5" t="s">
        <v>4890</v>
      </c>
      <c r="F906" s="5">
        <v>69</v>
      </c>
      <c r="G906" s="5">
        <v>414</v>
      </c>
    </row>
    <row r="907" spans="1:7" ht="16.5">
      <c r="A907" s="5" t="s">
        <v>4891</v>
      </c>
      <c r="B907" s="10" t="s">
        <v>4892</v>
      </c>
      <c r="C907" s="5" t="s">
        <v>895</v>
      </c>
      <c r="D907" s="5" t="s">
        <v>4893</v>
      </c>
      <c r="E907" s="5" t="s">
        <v>4882</v>
      </c>
      <c r="F907" s="5">
        <v>79</v>
      </c>
      <c r="G907" s="5">
        <v>474</v>
      </c>
    </row>
    <row r="908" spans="1:7" ht="16.5">
      <c r="A908" s="5" t="s">
        <v>4894</v>
      </c>
      <c r="B908" s="10" t="s">
        <v>4895</v>
      </c>
      <c r="C908" s="5" t="s">
        <v>896</v>
      </c>
      <c r="D908" s="5" t="s">
        <v>4896</v>
      </c>
      <c r="E908" s="5" t="s">
        <v>4882</v>
      </c>
      <c r="F908" s="5">
        <v>79</v>
      </c>
      <c r="G908" s="5">
        <v>474</v>
      </c>
    </row>
    <row r="909" spans="1:7" ht="16.5">
      <c r="A909" s="5" t="s">
        <v>4897</v>
      </c>
      <c r="B909" s="10" t="s">
        <v>4898</v>
      </c>
      <c r="C909" s="5" t="s">
        <v>897</v>
      </c>
      <c r="D909" s="5" t="s">
        <v>4899</v>
      </c>
      <c r="E909" s="5" t="s">
        <v>4882</v>
      </c>
      <c r="F909" s="5">
        <v>59</v>
      </c>
      <c r="G909" s="5">
        <v>354</v>
      </c>
    </row>
    <row r="910" spans="1:7" ht="16.5">
      <c r="A910" s="5" t="s">
        <v>4900</v>
      </c>
      <c r="B910" s="10" t="s">
        <v>4901</v>
      </c>
      <c r="C910" s="5" t="s">
        <v>898</v>
      </c>
      <c r="D910" s="5" t="s">
        <v>4902</v>
      </c>
      <c r="E910" s="5" t="s">
        <v>4882</v>
      </c>
      <c r="F910" s="5">
        <v>59</v>
      </c>
      <c r="G910" s="5">
        <v>354</v>
      </c>
    </row>
    <row r="911" spans="1:7" ht="16.5">
      <c r="A911" s="5" t="s">
        <v>4903</v>
      </c>
      <c r="B911" s="10" t="s">
        <v>4904</v>
      </c>
      <c r="C911" s="5" t="s">
        <v>899</v>
      </c>
      <c r="D911" s="5" t="s">
        <v>4905</v>
      </c>
      <c r="E911" s="5" t="s">
        <v>4882</v>
      </c>
      <c r="F911" s="5">
        <v>59</v>
      </c>
      <c r="G911" s="5">
        <v>354</v>
      </c>
    </row>
    <row r="912" spans="1:7" ht="16.5">
      <c r="A912" s="5" t="s">
        <v>4906</v>
      </c>
      <c r="B912" s="10" t="s">
        <v>4907</v>
      </c>
      <c r="C912" s="5" t="s">
        <v>900</v>
      </c>
      <c r="D912" s="5" t="s">
        <v>4908</v>
      </c>
      <c r="E912" s="5" t="s">
        <v>4882</v>
      </c>
      <c r="F912" s="5">
        <v>59</v>
      </c>
      <c r="G912" s="5">
        <v>354</v>
      </c>
    </row>
    <row r="913" spans="1:7" ht="16.5">
      <c r="A913" s="5" t="s">
        <v>4909</v>
      </c>
      <c r="B913" s="10" t="s">
        <v>4910</v>
      </c>
      <c r="C913" s="5" t="s">
        <v>901</v>
      </c>
      <c r="D913" s="5" t="s">
        <v>4911</v>
      </c>
      <c r="E913" s="5" t="s">
        <v>4882</v>
      </c>
      <c r="F913" s="5">
        <v>55</v>
      </c>
      <c r="G913" s="5">
        <v>330</v>
      </c>
    </row>
    <row r="914" spans="1:7" ht="16.5">
      <c r="A914" s="5" t="s">
        <v>4912</v>
      </c>
      <c r="B914" s="10" t="s">
        <v>4913</v>
      </c>
      <c r="C914" s="5" t="s">
        <v>902</v>
      </c>
      <c r="D914" s="5" t="s">
        <v>4914</v>
      </c>
      <c r="E914" s="5" t="s">
        <v>4882</v>
      </c>
      <c r="F914" s="5">
        <v>65</v>
      </c>
      <c r="G914" s="5">
        <v>390</v>
      </c>
    </row>
    <row r="915" spans="1:7" ht="16.5">
      <c r="A915" s="5" t="s">
        <v>4915</v>
      </c>
      <c r="B915" s="10" t="s">
        <v>4916</v>
      </c>
      <c r="C915" s="5" t="s">
        <v>4917</v>
      </c>
      <c r="D915" s="5" t="s">
        <v>4918</v>
      </c>
      <c r="E915" s="5" t="s">
        <v>4882</v>
      </c>
      <c r="F915" s="5">
        <v>128</v>
      </c>
      <c r="G915" s="5">
        <v>768</v>
      </c>
    </row>
    <row r="916" spans="1:7" ht="16.5">
      <c r="A916" s="5" t="s">
        <v>4919</v>
      </c>
      <c r="B916" s="10" t="s">
        <v>4920</v>
      </c>
      <c r="C916" s="5" t="s">
        <v>903</v>
      </c>
      <c r="D916" s="5" t="s">
        <v>4921</v>
      </c>
      <c r="E916" s="5" t="s">
        <v>4882</v>
      </c>
      <c r="F916" s="5">
        <v>59</v>
      </c>
      <c r="G916" s="5">
        <v>354</v>
      </c>
    </row>
    <row r="917" spans="1:7" ht="16.5">
      <c r="A917" s="5" t="s">
        <v>4922</v>
      </c>
      <c r="B917" s="10" t="s">
        <v>4923</v>
      </c>
      <c r="C917" s="5" t="s">
        <v>904</v>
      </c>
      <c r="D917" s="5" t="s">
        <v>4924</v>
      </c>
      <c r="E917" s="5" t="s">
        <v>4882</v>
      </c>
      <c r="F917" s="5">
        <v>69</v>
      </c>
      <c r="G917" s="5">
        <v>414</v>
      </c>
    </row>
    <row r="918" spans="1:7" ht="16.5">
      <c r="A918" s="5" t="s">
        <v>4925</v>
      </c>
      <c r="B918" s="10" t="s">
        <v>4926</v>
      </c>
      <c r="C918" s="5" t="s">
        <v>905</v>
      </c>
      <c r="D918" s="5" t="s">
        <v>4927</v>
      </c>
      <c r="E918" s="5" t="s">
        <v>4882</v>
      </c>
      <c r="F918" s="5">
        <v>79</v>
      </c>
      <c r="G918" s="5">
        <v>474</v>
      </c>
    </row>
    <row r="919" spans="1:7" ht="16.5">
      <c r="A919" s="5" t="s">
        <v>4928</v>
      </c>
      <c r="B919" s="10" t="s">
        <v>4929</v>
      </c>
      <c r="C919" s="5" t="s">
        <v>906</v>
      </c>
      <c r="D919" s="5" t="s">
        <v>4930</v>
      </c>
      <c r="E919" s="5" t="s">
        <v>4882</v>
      </c>
      <c r="F919" s="5">
        <v>39</v>
      </c>
      <c r="G919" s="5">
        <v>234</v>
      </c>
    </row>
    <row r="920" spans="1:7" ht="16.5">
      <c r="A920" s="5" t="s">
        <v>4931</v>
      </c>
      <c r="B920" s="10" t="s">
        <v>4932</v>
      </c>
      <c r="C920" s="5" t="s">
        <v>907</v>
      </c>
      <c r="D920" s="5" t="s">
        <v>4933</v>
      </c>
      <c r="E920" s="5" t="s">
        <v>4882</v>
      </c>
      <c r="F920" s="5">
        <v>59</v>
      </c>
      <c r="G920" s="5">
        <v>354</v>
      </c>
    </row>
    <row r="921" spans="1:7" ht="16.5">
      <c r="A921" s="5" t="s">
        <v>4934</v>
      </c>
      <c r="B921" s="10" t="s">
        <v>4935</v>
      </c>
      <c r="C921" s="5" t="s">
        <v>908</v>
      </c>
      <c r="D921" s="5" t="s">
        <v>4936</v>
      </c>
      <c r="E921" s="5" t="s">
        <v>4882</v>
      </c>
      <c r="F921" s="5">
        <v>75</v>
      </c>
      <c r="G921" s="5">
        <v>450</v>
      </c>
    </row>
    <row r="922" spans="1:7" ht="16.5">
      <c r="A922" s="5" t="s">
        <v>4937</v>
      </c>
      <c r="B922" s="10" t="s">
        <v>4938</v>
      </c>
      <c r="C922" s="5" t="s">
        <v>909</v>
      </c>
      <c r="D922" s="5" t="s">
        <v>4939</v>
      </c>
      <c r="E922" s="5" t="s">
        <v>4882</v>
      </c>
      <c r="F922" s="5">
        <v>198</v>
      </c>
      <c r="G922" s="5">
        <v>1188</v>
      </c>
    </row>
    <row r="923" spans="1:7" ht="16.5">
      <c r="A923" s="5" t="s">
        <v>4940</v>
      </c>
      <c r="B923" s="10" t="s">
        <v>4941</v>
      </c>
      <c r="C923" s="5" t="s">
        <v>910</v>
      </c>
      <c r="D923" s="5" t="s">
        <v>4942</v>
      </c>
      <c r="E923" s="5" t="s">
        <v>4882</v>
      </c>
      <c r="F923" s="5">
        <v>45</v>
      </c>
      <c r="G923" s="5">
        <v>270</v>
      </c>
    </row>
    <row r="924" spans="1:7" ht="16.5">
      <c r="A924" s="5" t="s">
        <v>4943</v>
      </c>
      <c r="B924" s="10" t="s">
        <v>4944</v>
      </c>
      <c r="C924" s="5" t="s">
        <v>911</v>
      </c>
      <c r="D924" s="5" t="s">
        <v>4945</v>
      </c>
      <c r="E924" s="5" t="s">
        <v>4882</v>
      </c>
      <c r="F924" s="5">
        <v>15</v>
      </c>
      <c r="G924" s="5">
        <v>90</v>
      </c>
    </row>
    <row r="925" spans="1:7" ht="16.5">
      <c r="A925" s="5" t="s">
        <v>4946</v>
      </c>
      <c r="B925" s="10" t="s">
        <v>4947</v>
      </c>
      <c r="C925" s="5" t="s">
        <v>912</v>
      </c>
      <c r="D925" s="5" t="s">
        <v>4948</v>
      </c>
      <c r="E925" s="5" t="s">
        <v>4949</v>
      </c>
      <c r="F925" s="5">
        <v>35</v>
      </c>
      <c r="G925" s="5">
        <v>210</v>
      </c>
    </row>
    <row r="926" spans="1:7" ht="16.5">
      <c r="A926" s="5" t="s">
        <v>4950</v>
      </c>
      <c r="B926" s="10" t="s">
        <v>4951</v>
      </c>
      <c r="C926" s="5" t="s">
        <v>913</v>
      </c>
      <c r="D926" s="5" t="s">
        <v>4952</v>
      </c>
      <c r="E926" s="5" t="s">
        <v>4949</v>
      </c>
      <c r="F926" s="5">
        <v>45</v>
      </c>
      <c r="G926" s="5">
        <v>270</v>
      </c>
    </row>
    <row r="927" spans="1:7" ht="16.5">
      <c r="A927" s="5" t="s">
        <v>4953</v>
      </c>
      <c r="B927" s="10" t="s">
        <v>4954</v>
      </c>
      <c r="C927" s="5" t="s">
        <v>914</v>
      </c>
      <c r="D927" s="5" t="s">
        <v>4948</v>
      </c>
      <c r="E927" s="5" t="s">
        <v>4949</v>
      </c>
      <c r="F927" s="5">
        <v>29</v>
      </c>
      <c r="G927" s="5">
        <v>174</v>
      </c>
    </row>
    <row r="928" spans="1:7" ht="16.5">
      <c r="A928" s="5" t="s">
        <v>4955</v>
      </c>
      <c r="B928" s="10" t="s">
        <v>4956</v>
      </c>
      <c r="C928" s="5" t="s">
        <v>915</v>
      </c>
      <c r="D928" s="5" t="s">
        <v>4957</v>
      </c>
      <c r="E928" s="5" t="s">
        <v>2236</v>
      </c>
      <c r="F928" s="5">
        <v>36</v>
      </c>
      <c r="G928" s="5">
        <v>216</v>
      </c>
    </row>
    <row r="929" spans="1:7" ht="16.5">
      <c r="A929" s="5" t="s">
        <v>4958</v>
      </c>
      <c r="B929" s="10" t="s">
        <v>2236</v>
      </c>
      <c r="C929" s="5" t="s">
        <v>916</v>
      </c>
      <c r="D929" s="5" t="s">
        <v>4959</v>
      </c>
      <c r="E929" s="5" t="s">
        <v>4960</v>
      </c>
      <c r="F929" s="5">
        <v>30</v>
      </c>
      <c r="G929" s="5">
        <v>180</v>
      </c>
    </row>
    <row r="930" spans="1:7" ht="16.5">
      <c r="A930" s="5" t="s">
        <v>4961</v>
      </c>
      <c r="B930" s="10" t="s">
        <v>4962</v>
      </c>
      <c r="C930" s="5" t="s">
        <v>917</v>
      </c>
      <c r="D930" s="5" t="s">
        <v>4963</v>
      </c>
      <c r="E930" s="5" t="s">
        <v>4600</v>
      </c>
      <c r="F930" s="5">
        <v>26</v>
      </c>
      <c r="G930" s="5">
        <v>156</v>
      </c>
    </row>
    <row r="931" spans="1:7" ht="16.5">
      <c r="A931" s="5" t="s">
        <v>4964</v>
      </c>
      <c r="B931" s="10" t="s">
        <v>2236</v>
      </c>
      <c r="C931" s="5" t="s">
        <v>918</v>
      </c>
      <c r="D931" s="5" t="s">
        <v>2236</v>
      </c>
      <c r="E931" s="5" t="s">
        <v>4600</v>
      </c>
      <c r="F931" s="5">
        <v>32</v>
      </c>
      <c r="G931" s="5">
        <v>192</v>
      </c>
    </row>
    <row r="932" spans="1:7" ht="16.5">
      <c r="A932" s="5" t="s">
        <v>4965</v>
      </c>
      <c r="B932" s="10" t="s">
        <v>4966</v>
      </c>
      <c r="C932" s="5" t="s">
        <v>919</v>
      </c>
      <c r="D932" s="5" t="s">
        <v>4967</v>
      </c>
      <c r="E932" s="5" t="s">
        <v>4258</v>
      </c>
      <c r="F932" s="5">
        <v>28</v>
      </c>
      <c r="G932" s="5">
        <v>168</v>
      </c>
    </row>
    <row r="933" spans="1:7" ht="16.5">
      <c r="A933" s="5" t="s">
        <v>4968</v>
      </c>
      <c r="B933" s="10" t="s">
        <v>4969</v>
      </c>
      <c r="C933" s="5" t="s">
        <v>920</v>
      </c>
      <c r="D933" s="5" t="s">
        <v>4970</v>
      </c>
      <c r="E933" s="5" t="s">
        <v>4600</v>
      </c>
      <c r="F933" s="5">
        <v>38</v>
      </c>
      <c r="G933" s="5">
        <v>228</v>
      </c>
    </row>
    <row r="934" spans="1:7" ht="16.5">
      <c r="A934" s="5" t="s">
        <v>4971</v>
      </c>
      <c r="B934" s="10" t="s">
        <v>4972</v>
      </c>
      <c r="C934" s="5" t="s">
        <v>921</v>
      </c>
      <c r="D934" s="5" t="s">
        <v>4973</v>
      </c>
      <c r="E934" s="5" t="s">
        <v>4960</v>
      </c>
      <c r="F934" s="5">
        <v>28</v>
      </c>
      <c r="G934" s="5">
        <v>168</v>
      </c>
    </row>
    <row r="935" spans="1:7" ht="16.5">
      <c r="A935" s="5" t="s">
        <v>4974</v>
      </c>
      <c r="B935" s="10" t="s">
        <v>4975</v>
      </c>
      <c r="C935" s="5" t="s">
        <v>922</v>
      </c>
      <c r="D935" s="5" t="s">
        <v>4976</v>
      </c>
      <c r="E935" s="5" t="s">
        <v>4977</v>
      </c>
      <c r="F935" s="5">
        <v>29.8</v>
      </c>
      <c r="G935" s="5">
        <v>179</v>
      </c>
    </row>
    <row r="936" spans="1:7" ht="16.5">
      <c r="A936" s="5" t="s">
        <v>4978</v>
      </c>
      <c r="B936" s="10" t="s">
        <v>4979</v>
      </c>
      <c r="C936" s="5" t="s">
        <v>4980</v>
      </c>
      <c r="D936" s="5" t="s">
        <v>4981</v>
      </c>
      <c r="E936" s="5" t="s">
        <v>4977</v>
      </c>
      <c r="F936" s="5">
        <v>39</v>
      </c>
      <c r="G936" s="5">
        <v>234</v>
      </c>
    </row>
    <row r="937" spans="1:7" ht="16.5">
      <c r="A937" s="5" t="s">
        <v>4982</v>
      </c>
      <c r="B937" s="10" t="s">
        <v>4983</v>
      </c>
      <c r="C937" s="5" t="s">
        <v>923</v>
      </c>
      <c r="D937" s="5" t="s">
        <v>2899</v>
      </c>
      <c r="E937" s="5" t="s">
        <v>4984</v>
      </c>
      <c r="F937" s="5">
        <v>39.8</v>
      </c>
      <c r="G937" s="5">
        <v>239</v>
      </c>
    </row>
    <row r="938" spans="1:7" ht="16.5">
      <c r="A938" s="5" t="s">
        <v>4985</v>
      </c>
      <c r="B938" s="10" t="s">
        <v>4986</v>
      </c>
      <c r="C938" s="5" t="s">
        <v>924</v>
      </c>
      <c r="D938" s="5" t="s">
        <v>2899</v>
      </c>
      <c r="E938" s="5" t="s">
        <v>4984</v>
      </c>
      <c r="F938" s="5">
        <v>39.8</v>
      </c>
      <c r="G938" s="5">
        <v>239</v>
      </c>
    </row>
    <row r="939" spans="1:7" ht="16.5">
      <c r="A939" s="5" t="s">
        <v>4987</v>
      </c>
      <c r="B939" s="10" t="s">
        <v>4988</v>
      </c>
      <c r="C939" s="5" t="s">
        <v>925</v>
      </c>
      <c r="D939" s="5" t="s">
        <v>4989</v>
      </c>
      <c r="E939" s="5" t="s">
        <v>4984</v>
      </c>
      <c r="F939" s="5">
        <v>40</v>
      </c>
      <c r="G939" s="5">
        <v>240</v>
      </c>
    </row>
    <row r="940" spans="1:7" ht="16.5">
      <c r="A940" s="5" t="s">
        <v>4990</v>
      </c>
      <c r="B940" s="10" t="s">
        <v>4991</v>
      </c>
      <c r="C940" s="5" t="s">
        <v>926</v>
      </c>
      <c r="D940" s="5" t="s">
        <v>4992</v>
      </c>
      <c r="E940" s="5" t="s">
        <v>4993</v>
      </c>
      <c r="F940" s="5">
        <v>28</v>
      </c>
      <c r="G940" s="5">
        <v>168</v>
      </c>
    </row>
    <row r="941" spans="1:7" ht="16.5">
      <c r="A941" s="5" t="s">
        <v>4994</v>
      </c>
      <c r="B941" s="10" t="s">
        <v>4995</v>
      </c>
      <c r="C941" s="5" t="s">
        <v>927</v>
      </c>
      <c r="D941" s="5" t="s">
        <v>4996</v>
      </c>
      <c r="E941" s="5" t="s">
        <v>4993</v>
      </c>
      <c r="F941" s="5">
        <v>28</v>
      </c>
      <c r="G941" s="5">
        <v>168</v>
      </c>
    </row>
    <row r="942" spans="1:7" ht="16.5">
      <c r="A942" s="5" t="s">
        <v>4997</v>
      </c>
      <c r="B942" s="10" t="s">
        <v>4998</v>
      </c>
      <c r="C942" s="5" t="s">
        <v>928</v>
      </c>
      <c r="D942" s="5" t="s">
        <v>4999</v>
      </c>
      <c r="E942" s="5" t="s">
        <v>4993</v>
      </c>
      <c r="F942" s="5">
        <v>28</v>
      </c>
      <c r="G942" s="5">
        <v>168</v>
      </c>
    </row>
    <row r="943" spans="1:7" ht="16.5">
      <c r="A943" s="5" t="s">
        <v>5000</v>
      </c>
      <c r="B943" s="10" t="s">
        <v>5001</v>
      </c>
      <c r="C943" s="5" t="s">
        <v>929</v>
      </c>
      <c r="D943" s="5" t="s">
        <v>5002</v>
      </c>
      <c r="E943" s="5" t="s">
        <v>4993</v>
      </c>
      <c r="F943" s="5">
        <v>28</v>
      </c>
      <c r="G943" s="5">
        <v>168</v>
      </c>
    </row>
    <row r="944" spans="1:7" ht="16.5">
      <c r="A944" s="5" t="s">
        <v>5003</v>
      </c>
      <c r="B944" s="10" t="s">
        <v>5004</v>
      </c>
      <c r="C944" s="5" t="s">
        <v>930</v>
      </c>
      <c r="D944" s="5" t="s">
        <v>5005</v>
      </c>
      <c r="E944" s="5" t="s">
        <v>4993</v>
      </c>
      <c r="F944" s="5">
        <v>28</v>
      </c>
      <c r="G944" s="5">
        <v>168</v>
      </c>
    </row>
    <row r="945" spans="1:7" ht="16.5">
      <c r="A945" s="5" t="s">
        <v>5006</v>
      </c>
      <c r="B945" s="10" t="s">
        <v>5007</v>
      </c>
      <c r="C945" s="5" t="s">
        <v>931</v>
      </c>
      <c r="D945" s="5" t="s">
        <v>5008</v>
      </c>
      <c r="E945" s="5" t="s">
        <v>5009</v>
      </c>
      <c r="F945" s="5">
        <v>30</v>
      </c>
      <c r="G945" s="5">
        <v>180</v>
      </c>
    </row>
    <row r="946" spans="1:7" ht="16.5">
      <c r="A946" s="5" t="s">
        <v>5010</v>
      </c>
      <c r="B946" s="10" t="s">
        <v>5011</v>
      </c>
      <c r="C946" s="5" t="s">
        <v>932</v>
      </c>
      <c r="D946" s="5" t="s">
        <v>5012</v>
      </c>
      <c r="E946" s="5" t="s">
        <v>5009</v>
      </c>
      <c r="F946" s="5">
        <v>30</v>
      </c>
      <c r="G946" s="5">
        <v>180</v>
      </c>
    </row>
    <row r="947" spans="1:7" ht="16.5">
      <c r="A947" s="5" t="s">
        <v>5013</v>
      </c>
      <c r="B947" s="10" t="s">
        <v>5014</v>
      </c>
      <c r="C947" s="5" t="s">
        <v>933</v>
      </c>
      <c r="D947" s="5" t="s">
        <v>5015</v>
      </c>
      <c r="E947" s="5" t="s">
        <v>5009</v>
      </c>
      <c r="F947" s="5">
        <v>25.8</v>
      </c>
      <c r="G947" s="5">
        <v>155</v>
      </c>
    </row>
    <row r="948" spans="1:7" ht="16.5">
      <c r="A948" s="5" t="s">
        <v>5016</v>
      </c>
      <c r="B948" s="10" t="s">
        <v>5017</v>
      </c>
      <c r="C948" s="5" t="s">
        <v>934</v>
      </c>
      <c r="D948" s="5" t="s">
        <v>5018</v>
      </c>
      <c r="E948" s="5" t="s">
        <v>5019</v>
      </c>
      <c r="F948" s="5">
        <v>42</v>
      </c>
      <c r="G948" s="5">
        <v>252</v>
      </c>
    </row>
    <row r="949" spans="1:7" ht="16.5">
      <c r="A949" s="5" t="s">
        <v>5020</v>
      </c>
      <c r="B949" s="10" t="s">
        <v>5021</v>
      </c>
      <c r="C949" s="5" t="s">
        <v>935</v>
      </c>
      <c r="D949" s="5" t="s">
        <v>5022</v>
      </c>
      <c r="E949" s="5" t="s">
        <v>5019</v>
      </c>
      <c r="F949" s="5">
        <v>38</v>
      </c>
      <c r="G949" s="5">
        <v>228</v>
      </c>
    </row>
    <row r="950" spans="1:7" ht="16.5">
      <c r="A950" s="5" t="s">
        <v>5023</v>
      </c>
      <c r="B950" s="10" t="s">
        <v>5024</v>
      </c>
      <c r="C950" s="5" t="s">
        <v>936</v>
      </c>
      <c r="D950" s="5" t="s">
        <v>5025</v>
      </c>
      <c r="E950" s="5" t="s">
        <v>5026</v>
      </c>
      <c r="F950" s="5">
        <v>48</v>
      </c>
      <c r="G950" s="5">
        <v>288</v>
      </c>
    </row>
    <row r="951" spans="1:7" ht="16.5">
      <c r="A951" s="5" t="s">
        <v>5027</v>
      </c>
      <c r="B951" s="10" t="s">
        <v>5028</v>
      </c>
      <c r="C951" s="5" t="s">
        <v>937</v>
      </c>
      <c r="D951" s="5" t="s">
        <v>5029</v>
      </c>
      <c r="E951" s="5" t="s">
        <v>4643</v>
      </c>
      <c r="F951" s="5">
        <v>980</v>
      </c>
      <c r="G951" s="5">
        <v>5880</v>
      </c>
    </row>
    <row r="952" spans="1:7" ht="16.5">
      <c r="A952" s="5" t="s">
        <v>5030</v>
      </c>
      <c r="B952" s="10" t="s">
        <v>5031</v>
      </c>
      <c r="C952" s="5" t="s">
        <v>938</v>
      </c>
      <c r="D952" s="5" t="s">
        <v>2337</v>
      </c>
      <c r="E952" s="5" t="s">
        <v>5032</v>
      </c>
      <c r="F952" s="5">
        <v>5</v>
      </c>
      <c r="G952" s="5">
        <v>30</v>
      </c>
    </row>
    <row r="953" spans="1:7" ht="16.5">
      <c r="A953" s="5" t="s">
        <v>5033</v>
      </c>
      <c r="B953" s="10" t="s">
        <v>5034</v>
      </c>
      <c r="C953" s="5" t="s">
        <v>939</v>
      </c>
      <c r="D953" s="5" t="s">
        <v>2899</v>
      </c>
      <c r="E953" s="5" t="s">
        <v>5035</v>
      </c>
      <c r="F953" s="5">
        <v>19.8</v>
      </c>
      <c r="G953" s="5">
        <v>119</v>
      </c>
    </row>
    <row r="954" spans="1:7" ht="16.5">
      <c r="A954" s="5" t="s">
        <v>5036</v>
      </c>
      <c r="B954" s="10" t="s">
        <v>5037</v>
      </c>
      <c r="C954" s="5" t="s">
        <v>940</v>
      </c>
      <c r="D954" s="5" t="s">
        <v>5038</v>
      </c>
      <c r="E954" s="5" t="s">
        <v>5035</v>
      </c>
      <c r="F954" s="5">
        <v>20</v>
      </c>
      <c r="G954" s="5">
        <v>120</v>
      </c>
    </row>
    <row r="955" spans="1:7" ht="16.5">
      <c r="A955" s="5" t="s">
        <v>5039</v>
      </c>
      <c r="B955" s="10" t="s">
        <v>5040</v>
      </c>
      <c r="C955" s="5" t="s">
        <v>941</v>
      </c>
      <c r="D955" s="5" t="s">
        <v>5041</v>
      </c>
      <c r="E955" s="5" t="s">
        <v>5042</v>
      </c>
      <c r="F955" s="5">
        <v>15</v>
      </c>
      <c r="G955" s="5">
        <v>90</v>
      </c>
    </row>
    <row r="956" spans="1:7" ht="16.5">
      <c r="A956" s="5" t="s">
        <v>5043</v>
      </c>
      <c r="B956" s="10" t="s">
        <v>5044</v>
      </c>
      <c r="C956" s="5" t="s">
        <v>942</v>
      </c>
      <c r="D956" s="5" t="s">
        <v>2337</v>
      </c>
      <c r="E956" s="5" t="s">
        <v>5042</v>
      </c>
      <c r="F956" s="5">
        <v>85</v>
      </c>
      <c r="G956" s="5">
        <v>510</v>
      </c>
    </row>
    <row r="957" spans="1:7" ht="16.5">
      <c r="A957" s="5" t="s">
        <v>5045</v>
      </c>
      <c r="B957" s="10" t="s">
        <v>5046</v>
      </c>
      <c r="C957" s="5" t="s">
        <v>943</v>
      </c>
      <c r="D957" s="5" t="s">
        <v>5047</v>
      </c>
      <c r="E957" s="5" t="s">
        <v>5042</v>
      </c>
      <c r="F957" s="5">
        <v>196</v>
      </c>
      <c r="G957" s="5">
        <v>1176</v>
      </c>
    </row>
    <row r="958" spans="1:7" ht="16.5">
      <c r="A958" s="5" t="s">
        <v>5048</v>
      </c>
      <c r="B958" s="10" t="s">
        <v>5049</v>
      </c>
      <c r="C958" s="5" t="s">
        <v>944</v>
      </c>
      <c r="D958" s="5" t="s">
        <v>5050</v>
      </c>
      <c r="E958" s="5" t="s">
        <v>5042</v>
      </c>
      <c r="F958" s="5">
        <v>14.8</v>
      </c>
      <c r="G958" s="5">
        <v>89</v>
      </c>
    </row>
    <row r="959" spans="1:7" ht="16.5">
      <c r="A959" s="5" t="s">
        <v>5051</v>
      </c>
      <c r="B959" s="10" t="s">
        <v>5049</v>
      </c>
      <c r="C959" s="5" t="s">
        <v>945</v>
      </c>
      <c r="D959" s="5" t="s">
        <v>5050</v>
      </c>
      <c r="E959" s="5" t="s">
        <v>5042</v>
      </c>
      <c r="F959" s="5">
        <v>14.8</v>
      </c>
      <c r="G959" s="5">
        <v>89</v>
      </c>
    </row>
    <row r="960" spans="1:7" ht="16.5">
      <c r="A960" s="5" t="s">
        <v>5052</v>
      </c>
      <c r="B960" s="10" t="s">
        <v>5049</v>
      </c>
      <c r="C960" s="5" t="s">
        <v>946</v>
      </c>
      <c r="D960" s="5" t="s">
        <v>5053</v>
      </c>
      <c r="E960" s="5" t="s">
        <v>5042</v>
      </c>
      <c r="F960" s="5">
        <v>14.8</v>
      </c>
      <c r="G960" s="5">
        <v>89</v>
      </c>
    </row>
    <row r="961" spans="1:7" ht="16.5">
      <c r="A961" s="5" t="s">
        <v>5054</v>
      </c>
      <c r="B961" s="10" t="s">
        <v>5049</v>
      </c>
      <c r="C961" s="5" t="s">
        <v>947</v>
      </c>
      <c r="D961" s="5" t="s">
        <v>5055</v>
      </c>
      <c r="E961" s="5" t="s">
        <v>5042</v>
      </c>
      <c r="F961" s="5">
        <v>14.8</v>
      </c>
      <c r="G961" s="5">
        <v>89</v>
      </c>
    </row>
    <row r="962" spans="1:7" ht="16.5">
      <c r="A962" s="5" t="s">
        <v>5056</v>
      </c>
      <c r="B962" s="10" t="s">
        <v>5049</v>
      </c>
      <c r="C962" s="5" t="s">
        <v>948</v>
      </c>
      <c r="D962" s="5" t="s">
        <v>5050</v>
      </c>
      <c r="E962" s="5" t="s">
        <v>5042</v>
      </c>
      <c r="F962" s="5">
        <v>14.8</v>
      </c>
      <c r="G962" s="5">
        <v>89</v>
      </c>
    </row>
    <row r="963" spans="1:7" ht="16.5">
      <c r="A963" s="5" t="s">
        <v>5057</v>
      </c>
      <c r="B963" s="10" t="s">
        <v>5049</v>
      </c>
      <c r="C963" s="5" t="s">
        <v>949</v>
      </c>
      <c r="D963" s="5" t="s">
        <v>5050</v>
      </c>
      <c r="E963" s="5" t="s">
        <v>5042</v>
      </c>
      <c r="F963" s="5">
        <v>14.8</v>
      </c>
      <c r="G963" s="5">
        <v>89</v>
      </c>
    </row>
    <row r="964" spans="1:7" ht="16.5">
      <c r="A964" s="5" t="s">
        <v>5058</v>
      </c>
      <c r="B964" s="10" t="s">
        <v>5049</v>
      </c>
      <c r="C964" s="5" t="s">
        <v>950</v>
      </c>
      <c r="D964" s="5" t="s">
        <v>5059</v>
      </c>
      <c r="E964" s="5" t="s">
        <v>5042</v>
      </c>
      <c r="F964" s="5">
        <v>14.8</v>
      </c>
      <c r="G964" s="5">
        <v>89</v>
      </c>
    </row>
    <row r="965" spans="1:7" ht="16.5">
      <c r="A965" s="5" t="s">
        <v>5060</v>
      </c>
      <c r="B965" s="10" t="s">
        <v>5049</v>
      </c>
      <c r="C965" s="5" t="s">
        <v>951</v>
      </c>
      <c r="D965" s="5" t="s">
        <v>5061</v>
      </c>
      <c r="E965" s="5" t="s">
        <v>5042</v>
      </c>
      <c r="F965" s="5">
        <v>14.8</v>
      </c>
      <c r="G965" s="5">
        <v>89</v>
      </c>
    </row>
    <row r="966" spans="1:7" ht="16.5">
      <c r="A966" s="5" t="s">
        <v>5062</v>
      </c>
      <c r="B966" s="10" t="s">
        <v>5063</v>
      </c>
      <c r="C966" s="5" t="s">
        <v>952</v>
      </c>
      <c r="D966" s="5" t="s">
        <v>5064</v>
      </c>
      <c r="E966" s="5" t="s">
        <v>5042</v>
      </c>
      <c r="F966" s="5">
        <v>12.6</v>
      </c>
      <c r="G966" s="5">
        <v>76</v>
      </c>
    </row>
    <row r="967" spans="1:7" ht="16.5">
      <c r="A967" s="5" t="s">
        <v>5065</v>
      </c>
      <c r="B967" s="10" t="s">
        <v>5063</v>
      </c>
      <c r="C967" s="5" t="s">
        <v>953</v>
      </c>
      <c r="D967" s="5" t="s">
        <v>5066</v>
      </c>
      <c r="E967" s="5" t="s">
        <v>5042</v>
      </c>
      <c r="F967" s="5">
        <v>23</v>
      </c>
      <c r="G967" s="5">
        <v>138</v>
      </c>
    </row>
    <row r="968" spans="1:7" ht="16.5">
      <c r="A968" s="5" t="s">
        <v>5067</v>
      </c>
      <c r="B968" s="10" t="s">
        <v>5068</v>
      </c>
      <c r="C968" s="5" t="s">
        <v>954</v>
      </c>
      <c r="D968" s="5" t="s">
        <v>5069</v>
      </c>
      <c r="E968" s="5" t="s">
        <v>5042</v>
      </c>
      <c r="F968" s="5">
        <v>46</v>
      </c>
      <c r="G968" s="5">
        <v>276</v>
      </c>
    </row>
    <row r="969" spans="1:7" ht="16.5">
      <c r="A969" s="5" t="s">
        <v>5070</v>
      </c>
      <c r="B969" s="10" t="s">
        <v>5071</v>
      </c>
      <c r="C969" s="5" t="s">
        <v>955</v>
      </c>
      <c r="D969" s="5" t="s">
        <v>5072</v>
      </c>
      <c r="E969" s="5" t="s">
        <v>5042</v>
      </c>
      <c r="F969" s="5">
        <v>23</v>
      </c>
      <c r="G969" s="5">
        <v>138</v>
      </c>
    </row>
    <row r="970" spans="1:7" ht="16.5">
      <c r="A970" s="5" t="s">
        <v>5073</v>
      </c>
      <c r="B970" s="10" t="s">
        <v>5071</v>
      </c>
      <c r="C970" s="5" t="s">
        <v>956</v>
      </c>
      <c r="D970" s="5" t="s">
        <v>5072</v>
      </c>
      <c r="E970" s="5" t="s">
        <v>5042</v>
      </c>
      <c r="F970" s="5">
        <v>23</v>
      </c>
      <c r="G970" s="5">
        <v>138</v>
      </c>
    </row>
    <row r="971" spans="1:7" ht="16.5">
      <c r="A971" s="5" t="s">
        <v>5074</v>
      </c>
      <c r="B971" s="10" t="s">
        <v>5075</v>
      </c>
      <c r="C971" s="5" t="s">
        <v>957</v>
      </c>
      <c r="D971" s="5" t="s">
        <v>5076</v>
      </c>
      <c r="E971" s="5" t="s">
        <v>5042</v>
      </c>
      <c r="F971" s="5">
        <v>18</v>
      </c>
      <c r="G971" s="5">
        <v>108</v>
      </c>
    </row>
    <row r="972" spans="1:7" ht="16.5">
      <c r="A972" s="5" t="s">
        <v>5077</v>
      </c>
      <c r="B972" s="10" t="s">
        <v>5078</v>
      </c>
      <c r="C972" s="5" t="s">
        <v>958</v>
      </c>
      <c r="D972" s="5" t="s">
        <v>5079</v>
      </c>
      <c r="E972" s="5" t="s">
        <v>5042</v>
      </c>
      <c r="F972" s="5">
        <v>20</v>
      </c>
      <c r="G972" s="5">
        <v>120</v>
      </c>
    </row>
    <row r="973" spans="1:7" ht="16.5">
      <c r="A973" s="5" t="s">
        <v>5080</v>
      </c>
      <c r="B973" s="10" t="s">
        <v>5081</v>
      </c>
      <c r="C973" s="5" t="s">
        <v>959</v>
      </c>
      <c r="D973" s="5" t="s">
        <v>5082</v>
      </c>
      <c r="E973" s="5" t="s">
        <v>5042</v>
      </c>
      <c r="F973" s="5">
        <v>36</v>
      </c>
      <c r="G973" s="5">
        <v>216</v>
      </c>
    </row>
    <row r="974" spans="1:7" ht="16.5">
      <c r="A974" s="5" t="s">
        <v>5083</v>
      </c>
      <c r="B974" s="10" t="s">
        <v>5084</v>
      </c>
      <c r="C974" s="5" t="s">
        <v>960</v>
      </c>
      <c r="D974" s="5" t="s">
        <v>2899</v>
      </c>
      <c r="E974" s="5" t="s">
        <v>5042</v>
      </c>
      <c r="F974" s="5">
        <v>24</v>
      </c>
      <c r="G974" s="5">
        <v>144</v>
      </c>
    </row>
    <row r="975" spans="1:7" ht="16.5">
      <c r="A975" s="5" t="s">
        <v>5085</v>
      </c>
      <c r="B975" s="10" t="s">
        <v>5086</v>
      </c>
      <c r="C975" s="5" t="s">
        <v>961</v>
      </c>
      <c r="D975" s="5" t="s">
        <v>5087</v>
      </c>
      <c r="E975" s="5" t="s">
        <v>5042</v>
      </c>
      <c r="F975" s="5">
        <v>48</v>
      </c>
      <c r="G975" s="5">
        <v>288</v>
      </c>
    </row>
    <row r="976" spans="1:7" ht="16.5">
      <c r="A976" s="5" t="s">
        <v>5088</v>
      </c>
      <c r="B976" s="10" t="s">
        <v>5089</v>
      </c>
      <c r="C976" s="5" t="s">
        <v>962</v>
      </c>
      <c r="D976" s="5" t="s">
        <v>5090</v>
      </c>
      <c r="E976" s="5" t="s">
        <v>5042</v>
      </c>
      <c r="F976" s="5">
        <v>29.8</v>
      </c>
      <c r="G976" s="5">
        <v>179</v>
      </c>
    </row>
    <row r="977" spans="1:7" ht="16.5">
      <c r="A977" s="5" t="s">
        <v>5091</v>
      </c>
      <c r="B977" s="10" t="s">
        <v>5092</v>
      </c>
      <c r="C977" s="5" t="s">
        <v>963</v>
      </c>
      <c r="D977" s="5" t="s">
        <v>5093</v>
      </c>
      <c r="E977" s="5" t="s">
        <v>5042</v>
      </c>
      <c r="F977" s="5">
        <v>17</v>
      </c>
      <c r="G977" s="5">
        <v>102</v>
      </c>
    </row>
    <row r="978" spans="1:7" ht="16.5">
      <c r="A978" s="5" t="s">
        <v>5094</v>
      </c>
      <c r="B978" s="10" t="s">
        <v>5095</v>
      </c>
      <c r="C978" s="5" t="s">
        <v>964</v>
      </c>
      <c r="D978" s="5" t="s">
        <v>5096</v>
      </c>
      <c r="E978" s="5" t="s">
        <v>5042</v>
      </c>
      <c r="F978" s="5">
        <v>65</v>
      </c>
      <c r="G978" s="5">
        <v>390</v>
      </c>
    </row>
    <row r="979" spans="1:7" ht="16.5">
      <c r="A979" s="5" t="s">
        <v>5097</v>
      </c>
      <c r="B979" s="10" t="s">
        <v>5098</v>
      </c>
      <c r="C979" s="5" t="s">
        <v>5099</v>
      </c>
      <c r="D979" s="5" t="s">
        <v>5100</v>
      </c>
      <c r="E979" s="5" t="s">
        <v>5042</v>
      </c>
      <c r="F979" s="5">
        <v>39.8</v>
      </c>
      <c r="G979" s="5">
        <v>239</v>
      </c>
    </row>
    <row r="980" spans="1:7" ht="16.5">
      <c r="A980" s="5" t="s">
        <v>5101</v>
      </c>
      <c r="B980" s="10" t="s">
        <v>5102</v>
      </c>
      <c r="C980" s="5" t="s">
        <v>965</v>
      </c>
      <c r="D980" s="5" t="s">
        <v>5103</v>
      </c>
      <c r="E980" s="5" t="s">
        <v>5042</v>
      </c>
      <c r="F980" s="5">
        <v>24</v>
      </c>
      <c r="G980" s="5">
        <v>144</v>
      </c>
    </row>
    <row r="981" spans="1:7" ht="16.5">
      <c r="A981" s="5" t="s">
        <v>5104</v>
      </c>
      <c r="B981" s="10" t="s">
        <v>5105</v>
      </c>
      <c r="C981" s="5" t="s">
        <v>966</v>
      </c>
      <c r="D981" s="5" t="s">
        <v>5103</v>
      </c>
      <c r="E981" s="5" t="s">
        <v>5042</v>
      </c>
      <c r="F981" s="5">
        <v>24</v>
      </c>
      <c r="G981" s="5">
        <v>144</v>
      </c>
    </row>
    <row r="982" spans="1:7" ht="16.5">
      <c r="A982" s="5" t="s">
        <v>5106</v>
      </c>
      <c r="B982" s="10" t="s">
        <v>5107</v>
      </c>
      <c r="C982" s="5" t="s">
        <v>967</v>
      </c>
      <c r="D982" s="5" t="s">
        <v>5108</v>
      </c>
      <c r="E982" s="5" t="s">
        <v>5042</v>
      </c>
      <c r="F982" s="5">
        <v>16.5</v>
      </c>
      <c r="G982" s="5">
        <v>99</v>
      </c>
    </row>
    <row r="983" spans="1:7" ht="16.5">
      <c r="A983" s="5" t="s">
        <v>5109</v>
      </c>
      <c r="B983" s="10" t="s">
        <v>5107</v>
      </c>
      <c r="C983" s="5" t="s">
        <v>968</v>
      </c>
      <c r="D983" s="5" t="s">
        <v>5108</v>
      </c>
      <c r="E983" s="5" t="s">
        <v>5042</v>
      </c>
      <c r="F983" s="5">
        <v>16.5</v>
      </c>
      <c r="G983" s="5">
        <v>99</v>
      </c>
    </row>
    <row r="984" spans="1:7" ht="16.5">
      <c r="A984" s="5" t="s">
        <v>5110</v>
      </c>
      <c r="B984" s="10" t="s">
        <v>5111</v>
      </c>
      <c r="C984" s="5" t="s">
        <v>969</v>
      </c>
      <c r="D984" s="5" t="s">
        <v>5112</v>
      </c>
      <c r="E984" s="5" t="s">
        <v>5042</v>
      </c>
      <c r="F984" s="5">
        <v>120</v>
      </c>
      <c r="G984" s="5">
        <v>720</v>
      </c>
    </row>
    <row r="985" spans="1:7" ht="16.5">
      <c r="A985" s="5" t="s">
        <v>5113</v>
      </c>
      <c r="B985" s="10" t="s">
        <v>5114</v>
      </c>
      <c r="C985" s="5" t="s">
        <v>970</v>
      </c>
      <c r="D985" s="5" t="s">
        <v>5115</v>
      </c>
      <c r="E985" s="5" t="s">
        <v>5042</v>
      </c>
      <c r="F985" s="5">
        <v>33</v>
      </c>
      <c r="G985" s="5">
        <v>198</v>
      </c>
    </row>
    <row r="986" spans="1:7" ht="16.5">
      <c r="A986" s="5" t="s">
        <v>5116</v>
      </c>
      <c r="B986" s="10" t="s">
        <v>5117</v>
      </c>
      <c r="C986" s="5" t="s">
        <v>971</v>
      </c>
      <c r="D986" s="5" t="s">
        <v>5118</v>
      </c>
      <c r="E986" s="5" t="s">
        <v>2236</v>
      </c>
      <c r="F986" s="5"/>
      <c r="G986" s="5">
        <v>160</v>
      </c>
    </row>
    <row r="987" spans="1:7" ht="16.5">
      <c r="A987" s="5" t="s">
        <v>5119</v>
      </c>
      <c r="B987" s="10" t="s">
        <v>5120</v>
      </c>
      <c r="C987" s="5" t="s">
        <v>972</v>
      </c>
      <c r="D987" s="5" t="s">
        <v>5121</v>
      </c>
      <c r="E987" s="5" t="s">
        <v>5122</v>
      </c>
      <c r="F987" s="5">
        <v>27</v>
      </c>
      <c r="G987" s="5">
        <v>162</v>
      </c>
    </row>
    <row r="988" spans="1:7" ht="16.5">
      <c r="A988" s="5" t="s">
        <v>5123</v>
      </c>
      <c r="B988" s="10" t="s">
        <v>5124</v>
      </c>
      <c r="C988" s="5" t="s">
        <v>973</v>
      </c>
      <c r="D988" s="5" t="s">
        <v>5125</v>
      </c>
      <c r="E988" s="5" t="s">
        <v>5122</v>
      </c>
      <c r="F988" s="5">
        <v>21</v>
      </c>
      <c r="G988" s="5">
        <v>126</v>
      </c>
    </row>
    <row r="989" spans="1:7" ht="16.5">
      <c r="A989" s="5" t="s">
        <v>5126</v>
      </c>
      <c r="B989" s="10" t="s">
        <v>5127</v>
      </c>
      <c r="C989" s="5" t="s">
        <v>974</v>
      </c>
      <c r="D989" s="5" t="s">
        <v>5128</v>
      </c>
      <c r="E989" s="5" t="s">
        <v>5122</v>
      </c>
      <c r="F989" s="5">
        <v>36</v>
      </c>
      <c r="G989" s="5">
        <v>216</v>
      </c>
    </row>
    <row r="990" spans="1:7" ht="16.5">
      <c r="A990" s="5" t="s">
        <v>5129</v>
      </c>
      <c r="B990" s="10" t="s">
        <v>5130</v>
      </c>
      <c r="C990" s="5" t="s">
        <v>975</v>
      </c>
      <c r="D990" s="5" t="s">
        <v>5131</v>
      </c>
      <c r="E990" s="5" t="s">
        <v>5122</v>
      </c>
      <c r="F990" s="5">
        <v>48</v>
      </c>
      <c r="G990" s="5">
        <v>288</v>
      </c>
    </row>
    <row r="991" spans="1:7" ht="16.5">
      <c r="A991" s="5" t="s">
        <v>5132</v>
      </c>
      <c r="B991" s="10" t="s">
        <v>5133</v>
      </c>
      <c r="C991" s="5" t="s">
        <v>976</v>
      </c>
      <c r="D991" s="5" t="s">
        <v>5134</v>
      </c>
      <c r="E991" s="5" t="s">
        <v>5122</v>
      </c>
      <c r="F991" s="5">
        <v>52</v>
      </c>
      <c r="G991" s="5">
        <v>312</v>
      </c>
    </row>
    <row r="992" spans="1:7" ht="16.5">
      <c r="A992" s="5" t="s">
        <v>5135</v>
      </c>
      <c r="B992" s="10" t="s">
        <v>5136</v>
      </c>
      <c r="C992" s="5" t="s">
        <v>977</v>
      </c>
      <c r="D992" s="5" t="s">
        <v>5137</v>
      </c>
      <c r="E992" s="5" t="s">
        <v>5122</v>
      </c>
      <c r="F992" s="5">
        <v>28</v>
      </c>
      <c r="G992" s="5">
        <v>168</v>
      </c>
    </row>
    <row r="993" spans="1:7" ht="16.5">
      <c r="A993" s="5" t="s">
        <v>5138</v>
      </c>
      <c r="B993" s="10" t="s">
        <v>5139</v>
      </c>
      <c r="C993" s="5" t="s">
        <v>978</v>
      </c>
      <c r="D993" s="5" t="s">
        <v>5140</v>
      </c>
      <c r="E993" s="5" t="s">
        <v>5122</v>
      </c>
      <c r="F993" s="5">
        <v>28</v>
      </c>
      <c r="G993" s="5">
        <v>168</v>
      </c>
    </row>
    <row r="994" spans="1:7" ht="16.5">
      <c r="A994" s="5" t="s">
        <v>5141</v>
      </c>
      <c r="B994" s="10" t="s">
        <v>5142</v>
      </c>
      <c r="C994" s="5" t="s">
        <v>979</v>
      </c>
      <c r="D994" s="5" t="s">
        <v>5143</v>
      </c>
      <c r="E994" s="5" t="s">
        <v>5122</v>
      </c>
      <c r="F994" s="5">
        <v>20</v>
      </c>
      <c r="G994" s="5">
        <v>120</v>
      </c>
    </row>
    <row r="995" spans="1:7" ht="16.5">
      <c r="A995" s="5" t="s">
        <v>5144</v>
      </c>
      <c r="B995" s="10" t="s">
        <v>5145</v>
      </c>
      <c r="C995" s="5" t="s">
        <v>980</v>
      </c>
      <c r="D995" s="5" t="s">
        <v>5146</v>
      </c>
      <c r="E995" s="5" t="s">
        <v>5122</v>
      </c>
      <c r="F995" s="5">
        <v>26</v>
      </c>
      <c r="G995" s="5">
        <v>156</v>
      </c>
    </row>
    <row r="996" spans="1:7" ht="16.5">
      <c r="A996" s="5" t="s">
        <v>5147</v>
      </c>
      <c r="B996" s="10" t="s">
        <v>5148</v>
      </c>
      <c r="C996" s="5" t="s">
        <v>981</v>
      </c>
      <c r="D996" s="5" t="s">
        <v>5146</v>
      </c>
      <c r="E996" s="5" t="s">
        <v>5122</v>
      </c>
      <c r="F996" s="5">
        <v>26</v>
      </c>
      <c r="G996" s="5">
        <v>156</v>
      </c>
    </row>
    <row r="997" spans="1:7" ht="16.5">
      <c r="A997" s="5" t="s">
        <v>5149</v>
      </c>
      <c r="B997" s="10" t="s">
        <v>5150</v>
      </c>
      <c r="C997" s="5" t="s">
        <v>982</v>
      </c>
      <c r="D997" s="5" t="s">
        <v>5146</v>
      </c>
      <c r="E997" s="5" t="s">
        <v>5122</v>
      </c>
      <c r="F997" s="5">
        <v>21</v>
      </c>
      <c r="G997" s="5">
        <v>126</v>
      </c>
    </row>
    <row r="998" spans="1:7" ht="16.5">
      <c r="A998" s="5" t="s">
        <v>5151</v>
      </c>
      <c r="B998" s="10" t="s">
        <v>5152</v>
      </c>
      <c r="C998" s="5" t="s">
        <v>983</v>
      </c>
      <c r="D998" s="5" t="s">
        <v>5143</v>
      </c>
      <c r="E998" s="5" t="s">
        <v>5122</v>
      </c>
      <c r="F998" s="5">
        <v>20</v>
      </c>
      <c r="G998" s="5">
        <v>120</v>
      </c>
    </row>
    <row r="999" spans="1:7" ht="16.5">
      <c r="A999" s="5" t="s">
        <v>5153</v>
      </c>
      <c r="B999" s="10" t="s">
        <v>5154</v>
      </c>
      <c r="C999" s="5" t="s">
        <v>984</v>
      </c>
      <c r="D999" s="5" t="s">
        <v>5155</v>
      </c>
      <c r="E999" s="5" t="s">
        <v>5122</v>
      </c>
      <c r="F999" s="5">
        <v>32</v>
      </c>
      <c r="G999" s="5">
        <v>192</v>
      </c>
    </row>
    <row r="1000" spans="1:7" ht="16.5">
      <c r="A1000" s="5" t="s">
        <v>5156</v>
      </c>
      <c r="B1000" s="10" t="s">
        <v>5157</v>
      </c>
      <c r="C1000" s="5" t="s">
        <v>985</v>
      </c>
      <c r="D1000" s="5" t="s">
        <v>5158</v>
      </c>
      <c r="E1000" s="5" t="s">
        <v>5122</v>
      </c>
      <c r="F1000" s="5">
        <v>42</v>
      </c>
      <c r="G1000" s="5">
        <v>252</v>
      </c>
    </row>
    <row r="1001" spans="1:7" ht="16.5">
      <c r="A1001" s="5" t="s">
        <v>5159</v>
      </c>
      <c r="B1001" s="10" t="s">
        <v>5160</v>
      </c>
      <c r="C1001" s="5" t="s">
        <v>986</v>
      </c>
      <c r="D1001" s="5" t="s">
        <v>5161</v>
      </c>
      <c r="E1001" s="5" t="s">
        <v>5162</v>
      </c>
      <c r="F1001" s="5">
        <v>28</v>
      </c>
      <c r="G1001" s="5">
        <v>168</v>
      </c>
    </row>
    <row r="1002" spans="1:7" ht="16.5">
      <c r="A1002" s="5" t="s">
        <v>5163</v>
      </c>
      <c r="B1002" s="10" t="s">
        <v>5164</v>
      </c>
      <c r="C1002" s="5" t="s">
        <v>987</v>
      </c>
      <c r="D1002" s="5" t="s">
        <v>5165</v>
      </c>
      <c r="E1002" s="5" t="s">
        <v>5162</v>
      </c>
      <c r="F1002" s="5">
        <v>16</v>
      </c>
      <c r="G1002" s="5">
        <v>96</v>
      </c>
    </row>
    <row r="1003" spans="1:7" ht="16.5">
      <c r="A1003" s="5" t="s">
        <v>5166</v>
      </c>
      <c r="B1003" s="10" t="s">
        <v>5167</v>
      </c>
      <c r="C1003" s="5" t="s">
        <v>988</v>
      </c>
      <c r="D1003" s="5" t="s">
        <v>5168</v>
      </c>
      <c r="E1003" s="5" t="s">
        <v>5169</v>
      </c>
      <c r="F1003" s="5">
        <v>26</v>
      </c>
      <c r="G1003" s="5">
        <v>156</v>
      </c>
    </row>
    <row r="1004" spans="1:7" ht="16.5">
      <c r="A1004" s="5" t="s">
        <v>5170</v>
      </c>
      <c r="B1004" s="10" t="s">
        <v>5171</v>
      </c>
      <c r="C1004" s="5" t="s">
        <v>989</v>
      </c>
      <c r="D1004" s="5" t="s">
        <v>5172</v>
      </c>
      <c r="E1004" s="5" t="s">
        <v>5169</v>
      </c>
      <c r="F1004" s="5">
        <v>16.8</v>
      </c>
      <c r="G1004" s="5">
        <v>101</v>
      </c>
    </row>
    <row r="1005" spans="1:7" ht="16.5">
      <c r="A1005" s="5" t="s">
        <v>5173</v>
      </c>
      <c r="B1005" s="10" t="s">
        <v>5174</v>
      </c>
      <c r="C1005" s="5" t="s">
        <v>990</v>
      </c>
      <c r="D1005" s="5" t="s">
        <v>5175</v>
      </c>
      <c r="E1005" s="5" t="s">
        <v>5176</v>
      </c>
      <c r="F1005" s="5">
        <v>22.8</v>
      </c>
      <c r="G1005" s="5">
        <v>137</v>
      </c>
    </row>
    <row r="1006" spans="1:7" ht="16.5">
      <c r="A1006" s="5" t="s">
        <v>5177</v>
      </c>
      <c r="B1006" s="10" t="s">
        <v>5178</v>
      </c>
      <c r="C1006" s="5" t="s">
        <v>991</v>
      </c>
      <c r="D1006" s="5" t="s">
        <v>5179</v>
      </c>
      <c r="E1006" s="5" t="s">
        <v>5180</v>
      </c>
      <c r="F1006" s="5">
        <v>25</v>
      </c>
      <c r="G1006" s="5">
        <v>150</v>
      </c>
    </row>
    <row r="1007" spans="1:7" ht="16.5">
      <c r="A1007" s="5" t="s">
        <v>5181</v>
      </c>
      <c r="B1007" s="10" t="s">
        <v>5182</v>
      </c>
      <c r="C1007" s="5" t="s">
        <v>992</v>
      </c>
      <c r="D1007" s="5" t="s">
        <v>5183</v>
      </c>
      <c r="E1007" s="5" t="s">
        <v>5184</v>
      </c>
      <c r="F1007" s="5">
        <v>16</v>
      </c>
      <c r="G1007" s="5">
        <v>96</v>
      </c>
    </row>
    <row r="1008" spans="1:7" ht="16.5">
      <c r="A1008" s="5" t="s">
        <v>5185</v>
      </c>
      <c r="B1008" s="10" t="s">
        <v>5186</v>
      </c>
      <c r="C1008" s="5" t="s">
        <v>993</v>
      </c>
      <c r="D1008" s="5" t="s">
        <v>5187</v>
      </c>
      <c r="E1008" s="5" t="s">
        <v>5184</v>
      </c>
      <c r="F1008" s="5">
        <v>25</v>
      </c>
      <c r="G1008" s="5">
        <v>150</v>
      </c>
    </row>
    <row r="1009" spans="1:7" ht="16.5">
      <c r="A1009" s="5" t="s">
        <v>5188</v>
      </c>
      <c r="B1009" s="10" t="s">
        <v>5189</v>
      </c>
      <c r="C1009" s="5" t="s">
        <v>994</v>
      </c>
      <c r="D1009" s="5" t="s">
        <v>5190</v>
      </c>
      <c r="E1009" s="5" t="s">
        <v>5184</v>
      </c>
      <c r="F1009" s="5">
        <v>42</v>
      </c>
      <c r="G1009" s="5">
        <v>252</v>
      </c>
    </row>
    <row r="1010" spans="1:7" ht="16.5">
      <c r="A1010" s="5" t="s">
        <v>5191</v>
      </c>
      <c r="B1010" s="10" t="s">
        <v>5192</v>
      </c>
      <c r="C1010" s="5" t="s">
        <v>995</v>
      </c>
      <c r="D1010" s="5" t="s">
        <v>5193</v>
      </c>
      <c r="E1010" s="5" t="s">
        <v>5184</v>
      </c>
      <c r="F1010" s="5">
        <v>24</v>
      </c>
      <c r="G1010" s="5">
        <v>144</v>
      </c>
    </row>
    <row r="1011" spans="1:7" ht="16.5">
      <c r="A1011" s="5" t="s">
        <v>5194</v>
      </c>
      <c r="B1011" s="10" t="s">
        <v>5195</v>
      </c>
      <c r="C1011" s="5" t="s">
        <v>996</v>
      </c>
      <c r="D1011" s="5" t="s">
        <v>5196</v>
      </c>
      <c r="E1011" s="5" t="s">
        <v>5184</v>
      </c>
      <c r="F1011" s="5">
        <v>42</v>
      </c>
      <c r="G1011" s="5">
        <v>252</v>
      </c>
    </row>
    <row r="1012" spans="1:7" ht="16.5">
      <c r="A1012" s="5" t="s">
        <v>5197</v>
      </c>
      <c r="B1012" s="10" t="s">
        <v>5198</v>
      </c>
      <c r="C1012" s="5" t="s">
        <v>997</v>
      </c>
      <c r="D1012" s="5" t="s">
        <v>5199</v>
      </c>
      <c r="E1012" s="5" t="s">
        <v>5184</v>
      </c>
      <c r="F1012" s="5">
        <v>29</v>
      </c>
      <c r="G1012" s="5">
        <v>174</v>
      </c>
    </row>
    <row r="1013" spans="1:7" ht="16.5">
      <c r="A1013" s="5" t="s">
        <v>5200</v>
      </c>
      <c r="B1013" s="10" t="s">
        <v>5201</v>
      </c>
      <c r="C1013" s="5" t="s">
        <v>998</v>
      </c>
      <c r="D1013" s="5" t="s">
        <v>5202</v>
      </c>
      <c r="E1013" s="5" t="s">
        <v>5203</v>
      </c>
      <c r="F1013" s="5">
        <v>48</v>
      </c>
      <c r="G1013" s="5">
        <v>288</v>
      </c>
    </row>
    <row r="1014" spans="1:7" ht="16.5">
      <c r="A1014" s="5" t="s">
        <v>5204</v>
      </c>
      <c r="B1014" s="10" t="s">
        <v>5205</v>
      </c>
      <c r="C1014" s="5" t="s">
        <v>999</v>
      </c>
      <c r="D1014" s="5" t="s">
        <v>5206</v>
      </c>
      <c r="E1014" s="5" t="s">
        <v>5203</v>
      </c>
      <c r="F1014" s="5">
        <v>40</v>
      </c>
      <c r="G1014" s="5">
        <v>240</v>
      </c>
    </row>
    <row r="1015" spans="1:7" ht="16.5">
      <c r="A1015" s="5" t="s">
        <v>5207</v>
      </c>
      <c r="B1015" s="10" t="s">
        <v>5208</v>
      </c>
      <c r="C1015" s="5" t="s">
        <v>1000</v>
      </c>
      <c r="D1015" s="5" t="s">
        <v>2899</v>
      </c>
      <c r="E1015" s="5" t="s">
        <v>5203</v>
      </c>
      <c r="F1015" s="5">
        <v>98</v>
      </c>
      <c r="G1015" s="5">
        <v>588</v>
      </c>
    </row>
    <row r="1016" spans="1:7" ht="16.5">
      <c r="A1016" s="5" t="s">
        <v>5209</v>
      </c>
      <c r="B1016" s="10" t="s">
        <v>5210</v>
      </c>
      <c r="C1016" s="5" t="s">
        <v>1001</v>
      </c>
      <c r="D1016" s="5" t="s">
        <v>2236</v>
      </c>
      <c r="E1016" s="5" t="s">
        <v>5211</v>
      </c>
      <c r="F1016" s="5">
        <v>20</v>
      </c>
      <c r="G1016" s="5">
        <v>120</v>
      </c>
    </row>
    <row r="1017" spans="1:7" ht="16.5">
      <c r="A1017" s="5" t="s">
        <v>5212</v>
      </c>
      <c r="B1017" s="10" t="s">
        <v>5213</v>
      </c>
      <c r="C1017" s="5" t="s">
        <v>1002</v>
      </c>
      <c r="D1017" s="5" t="s">
        <v>5214</v>
      </c>
      <c r="E1017" s="5" t="s">
        <v>5211</v>
      </c>
      <c r="F1017" s="5">
        <v>18</v>
      </c>
      <c r="G1017" s="5">
        <v>108</v>
      </c>
    </row>
    <row r="1018" spans="1:7" ht="16.5">
      <c r="A1018" s="5" t="s">
        <v>5215</v>
      </c>
      <c r="B1018" s="10" t="s">
        <v>5216</v>
      </c>
      <c r="C1018" s="5" t="s">
        <v>1003</v>
      </c>
      <c r="D1018" s="5" t="s">
        <v>2607</v>
      </c>
      <c r="E1018" s="5" t="s">
        <v>5217</v>
      </c>
      <c r="F1018" s="5">
        <v>320</v>
      </c>
      <c r="G1018" s="5">
        <v>1920</v>
      </c>
    </row>
    <row r="1019" spans="1:7" ht="16.5">
      <c r="A1019" s="5" t="s">
        <v>5218</v>
      </c>
      <c r="B1019" s="10" t="s">
        <v>5219</v>
      </c>
      <c r="C1019" s="5" t="s">
        <v>1004</v>
      </c>
      <c r="D1019" s="5" t="s">
        <v>2607</v>
      </c>
      <c r="E1019" s="5" t="s">
        <v>5217</v>
      </c>
      <c r="F1019" s="5">
        <v>320</v>
      </c>
      <c r="G1019" s="5">
        <v>1920</v>
      </c>
    </row>
    <row r="1020" spans="1:7" ht="16.5">
      <c r="A1020" s="5" t="s">
        <v>5220</v>
      </c>
      <c r="B1020" s="10" t="s">
        <v>5221</v>
      </c>
      <c r="C1020" s="5" t="s">
        <v>1005</v>
      </c>
      <c r="D1020" s="5" t="s">
        <v>5222</v>
      </c>
      <c r="E1020" s="5" t="s">
        <v>5217</v>
      </c>
      <c r="F1020" s="5">
        <v>23</v>
      </c>
      <c r="G1020" s="5">
        <v>138</v>
      </c>
    </row>
    <row r="1021" spans="1:7" ht="16.5">
      <c r="A1021" s="5" t="s">
        <v>5223</v>
      </c>
      <c r="B1021" s="10" t="s">
        <v>5224</v>
      </c>
      <c r="C1021" s="5" t="s">
        <v>1006</v>
      </c>
      <c r="D1021" s="5" t="s">
        <v>5225</v>
      </c>
      <c r="E1021" s="5" t="s">
        <v>5226</v>
      </c>
      <c r="F1021" s="5">
        <v>35</v>
      </c>
      <c r="G1021" s="5">
        <v>210</v>
      </c>
    </row>
    <row r="1022" spans="1:7" ht="16.5">
      <c r="A1022" s="5" t="s">
        <v>5227</v>
      </c>
      <c r="B1022" s="10" t="s">
        <v>5228</v>
      </c>
      <c r="C1022" s="5" t="s">
        <v>1007</v>
      </c>
      <c r="D1022" s="5" t="s">
        <v>5229</v>
      </c>
      <c r="E1022" s="5" t="s">
        <v>5226</v>
      </c>
      <c r="F1022" s="5">
        <v>24.7</v>
      </c>
      <c r="G1022" s="5">
        <v>148</v>
      </c>
    </row>
    <row r="1023" spans="1:7" ht="16.5">
      <c r="A1023" s="5" t="s">
        <v>5230</v>
      </c>
      <c r="B1023" s="10" t="s">
        <v>5231</v>
      </c>
      <c r="C1023" s="5" t="s">
        <v>1008</v>
      </c>
      <c r="D1023" s="5" t="s">
        <v>5232</v>
      </c>
      <c r="E1023" s="5" t="s">
        <v>5226</v>
      </c>
      <c r="F1023" s="5">
        <v>23.4</v>
      </c>
      <c r="G1023" s="5">
        <v>140</v>
      </c>
    </row>
    <row r="1024" spans="1:7" ht="16.5">
      <c r="A1024" s="5" t="s">
        <v>5233</v>
      </c>
      <c r="B1024" s="10" t="s">
        <v>5234</v>
      </c>
      <c r="C1024" s="5" t="s">
        <v>5235</v>
      </c>
      <c r="D1024" s="5" t="s">
        <v>5236</v>
      </c>
      <c r="E1024" s="5" t="s">
        <v>5226</v>
      </c>
      <c r="F1024" s="5">
        <v>35</v>
      </c>
      <c r="G1024" s="5">
        <v>210</v>
      </c>
    </row>
    <row r="1025" spans="1:7" ht="16.5">
      <c r="A1025" s="5" t="s">
        <v>5237</v>
      </c>
      <c r="B1025" s="10" t="s">
        <v>5238</v>
      </c>
      <c r="C1025" s="5" t="s">
        <v>1009</v>
      </c>
      <c r="D1025" s="5" t="s">
        <v>5239</v>
      </c>
      <c r="E1025" s="5" t="s">
        <v>5226</v>
      </c>
      <c r="F1025" s="5">
        <v>30</v>
      </c>
      <c r="G1025" s="5">
        <v>180</v>
      </c>
    </row>
    <row r="1026" spans="1:7" ht="16.5">
      <c r="A1026" s="5" t="s">
        <v>5240</v>
      </c>
      <c r="B1026" s="10" t="s">
        <v>5241</v>
      </c>
      <c r="C1026" s="5" t="s">
        <v>1010</v>
      </c>
      <c r="D1026" s="5" t="s">
        <v>5242</v>
      </c>
      <c r="E1026" s="5" t="s">
        <v>5226</v>
      </c>
      <c r="F1026" s="5">
        <v>25</v>
      </c>
      <c r="G1026" s="5">
        <v>150</v>
      </c>
    </row>
    <row r="1027" spans="1:7" ht="16.5">
      <c r="A1027" s="5" t="s">
        <v>5243</v>
      </c>
      <c r="B1027" s="10" t="s">
        <v>5244</v>
      </c>
      <c r="C1027" s="5" t="s">
        <v>1011</v>
      </c>
      <c r="D1027" s="5" t="s">
        <v>5245</v>
      </c>
      <c r="E1027" s="5" t="s">
        <v>5226</v>
      </c>
      <c r="F1027" s="5"/>
      <c r="G1027" s="5">
        <v>70</v>
      </c>
    </row>
    <row r="1028" spans="1:7" ht="16.5">
      <c r="A1028" s="5" t="s">
        <v>5246</v>
      </c>
      <c r="B1028" s="10" t="s">
        <v>5247</v>
      </c>
      <c r="C1028" s="5" t="s">
        <v>1012</v>
      </c>
      <c r="D1028" s="5" t="s">
        <v>5248</v>
      </c>
      <c r="E1028" s="5" t="s">
        <v>5226</v>
      </c>
      <c r="F1028" s="5">
        <v>35</v>
      </c>
      <c r="G1028" s="5">
        <v>210</v>
      </c>
    </row>
    <row r="1029" spans="1:7" ht="16.5">
      <c r="A1029" s="5" t="s">
        <v>5249</v>
      </c>
      <c r="B1029" s="10" t="s">
        <v>5250</v>
      </c>
      <c r="C1029" s="5" t="s">
        <v>1013</v>
      </c>
      <c r="D1029" s="5" t="s">
        <v>5251</v>
      </c>
      <c r="E1029" s="5" t="s">
        <v>5226</v>
      </c>
      <c r="F1029" s="5">
        <v>35</v>
      </c>
      <c r="G1029" s="5">
        <v>210</v>
      </c>
    </row>
    <row r="1030" spans="1:7" ht="16.5">
      <c r="A1030" s="5" t="s">
        <v>5252</v>
      </c>
      <c r="B1030" s="10" t="s">
        <v>5253</v>
      </c>
      <c r="C1030" s="5" t="s">
        <v>1014</v>
      </c>
      <c r="D1030" s="5" t="s">
        <v>5254</v>
      </c>
      <c r="E1030" s="5" t="s">
        <v>5226</v>
      </c>
      <c r="F1030" s="5">
        <v>18</v>
      </c>
      <c r="G1030" s="5">
        <v>108</v>
      </c>
    </row>
    <row r="1031" spans="1:7" ht="16.5">
      <c r="A1031" s="5" t="s">
        <v>5255</v>
      </c>
      <c r="B1031" s="10" t="s">
        <v>5256</v>
      </c>
      <c r="C1031" s="5" t="s">
        <v>1015</v>
      </c>
      <c r="D1031" s="5" t="s">
        <v>5257</v>
      </c>
      <c r="E1031" s="5" t="s">
        <v>5226</v>
      </c>
      <c r="F1031" s="5">
        <v>68</v>
      </c>
      <c r="G1031" s="5">
        <v>408</v>
      </c>
    </row>
    <row r="1032" spans="1:7" ht="16.5">
      <c r="A1032" s="5" t="s">
        <v>5258</v>
      </c>
      <c r="B1032" s="10" t="s">
        <v>5259</v>
      </c>
      <c r="C1032" s="5" t="s">
        <v>1016</v>
      </c>
      <c r="D1032" s="5" t="s">
        <v>5260</v>
      </c>
      <c r="E1032" s="5" t="s">
        <v>5226</v>
      </c>
      <c r="F1032" s="5">
        <v>38</v>
      </c>
      <c r="G1032" s="5">
        <v>228</v>
      </c>
    </row>
    <row r="1033" spans="1:7" ht="16.5">
      <c r="A1033" s="5" t="s">
        <v>5261</v>
      </c>
      <c r="B1033" s="10" t="s">
        <v>5262</v>
      </c>
      <c r="C1033" s="5" t="s">
        <v>1017</v>
      </c>
      <c r="D1033" s="5" t="s">
        <v>5263</v>
      </c>
      <c r="E1033" s="5" t="s">
        <v>5226</v>
      </c>
      <c r="F1033" s="5">
        <v>28</v>
      </c>
      <c r="G1033" s="5">
        <v>168</v>
      </c>
    </row>
    <row r="1034" spans="1:7" ht="16.5">
      <c r="A1034" s="5" t="s">
        <v>5264</v>
      </c>
      <c r="B1034" s="10" t="s">
        <v>5265</v>
      </c>
      <c r="C1034" s="5" t="s">
        <v>1018</v>
      </c>
      <c r="D1034" s="5" t="s">
        <v>5266</v>
      </c>
      <c r="E1034" s="5" t="s">
        <v>5226</v>
      </c>
      <c r="F1034" s="5">
        <v>26</v>
      </c>
      <c r="G1034" s="5">
        <v>156</v>
      </c>
    </row>
    <row r="1035" spans="1:7" ht="16.5">
      <c r="A1035" s="5" t="s">
        <v>5267</v>
      </c>
      <c r="B1035" s="10" t="s">
        <v>5268</v>
      </c>
      <c r="C1035" s="5" t="s">
        <v>1019</v>
      </c>
      <c r="D1035" s="5" t="s">
        <v>5269</v>
      </c>
      <c r="E1035" s="5" t="s">
        <v>5226</v>
      </c>
      <c r="F1035" s="5">
        <v>24</v>
      </c>
      <c r="G1035" s="5">
        <v>144</v>
      </c>
    </row>
    <row r="1036" spans="1:7" ht="16.5">
      <c r="A1036" s="5" t="s">
        <v>5270</v>
      </c>
      <c r="B1036" s="10" t="s">
        <v>5271</v>
      </c>
      <c r="C1036" s="5" t="s">
        <v>1020</v>
      </c>
      <c r="D1036" s="5" t="s">
        <v>5272</v>
      </c>
      <c r="E1036" s="5" t="s">
        <v>5226</v>
      </c>
      <c r="F1036" s="5">
        <v>21</v>
      </c>
      <c r="G1036" s="5">
        <v>126</v>
      </c>
    </row>
    <row r="1037" spans="1:7" ht="16.5">
      <c r="A1037" s="5" t="s">
        <v>5273</v>
      </c>
      <c r="B1037" s="10" t="s">
        <v>5274</v>
      </c>
      <c r="C1037" s="5" t="s">
        <v>1021</v>
      </c>
      <c r="D1037" s="5" t="s">
        <v>5275</v>
      </c>
      <c r="E1037" s="5" t="s">
        <v>5226</v>
      </c>
      <c r="F1037" s="5">
        <v>65</v>
      </c>
      <c r="G1037" s="5">
        <v>390</v>
      </c>
    </row>
    <row r="1038" spans="1:7" ht="16.5">
      <c r="A1038" s="5" t="s">
        <v>5276</v>
      </c>
      <c r="B1038" s="10" t="s">
        <v>5277</v>
      </c>
      <c r="C1038" s="5" t="s">
        <v>1022</v>
      </c>
      <c r="D1038" s="5" t="s">
        <v>5278</v>
      </c>
      <c r="E1038" s="5" t="s">
        <v>5226</v>
      </c>
      <c r="F1038" s="5">
        <v>39</v>
      </c>
      <c r="G1038" s="5">
        <v>234</v>
      </c>
    </row>
    <row r="1039" spans="1:7" ht="16.5">
      <c r="A1039" s="5" t="s">
        <v>5279</v>
      </c>
      <c r="B1039" s="10" t="s">
        <v>5280</v>
      </c>
      <c r="C1039" s="5" t="s">
        <v>1023</v>
      </c>
      <c r="D1039" s="5" t="s">
        <v>5281</v>
      </c>
      <c r="E1039" s="5" t="s">
        <v>5226</v>
      </c>
      <c r="F1039" s="5">
        <v>39</v>
      </c>
      <c r="G1039" s="5">
        <v>234</v>
      </c>
    </row>
    <row r="1040" spans="1:7" ht="16.5">
      <c r="A1040" s="5" t="s">
        <v>5282</v>
      </c>
      <c r="B1040" s="10" t="s">
        <v>5283</v>
      </c>
      <c r="C1040" s="5" t="s">
        <v>1024</v>
      </c>
      <c r="D1040" s="5" t="s">
        <v>5284</v>
      </c>
      <c r="E1040" s="5" t="s">
        <v>5226</v>
      </c>
      <c r="F1040" s="5">
        <v>59</v>
      </c>
      <c r="G1040" s="5">
        <v>354</v>
      </c>
    </row>
    <row r="1041" spans="1:7" ht="16.5">
      <c r="A1041" s="5" t="s">
        <v>5285</v>
      </c>
      <c r="B1041" s="10" t="s">
        <v>5286</v>
      </c>
      <c r="C1041" s="5" t="s">
        <v>1025</v>
      </c>
      <c r="D1041" s="5" t="s">
        <v>5287</v>
      </c>
      <c r="E1041" s="5" t="s">
        <v>5226</v>
      </c>
      <c r="F1041" s="5">
        <v>19</v>
      </c>
      <c r="G1041" s="5">
        <v>114</v>
      </c>
    </row>
    <row r="1042" spans="1:7" ht="16.5">
      <c r="A1042" s="5" t="s">
        <v>5288</v>
      </c>
      <c r="B1042" s="10" t="s">
        <v>5289</v>
      </c>
      <c r="C1042" s="5" t="s">
        <v>1026</v>
      </c>
      <c r="D1042" s="5" t="s">
        <v>5290</v>
      </c>
      <c r="E1042" s="5" t="s">
        <v>5226</v>
      </c>
      <c r="F1042" s="5">
        <v>19</v>
      </c>
      <c r="G1042" s="5">
        <v>114</v>
      </c>
    </row>
    <row r="1043" spans="1:7" ht="16.5">
      <c r="A1043" s="5" t="s">
        <v>5291</v>
      </c>
      <c r="B1043" s="10" t="s">
        <v>5292</v>
      </c>
      <c r="C1043" s="5" t="s">
        <v>1027</v>
      </c>
      <c r="D1043" s="5" t="s">
        <v>5293</v>
      </c>
      <c r="E1043" s="5" t="s">
        <v>5226</v>
      </c>
      <c r="F1043" s="5">
        <v>24</v>
      </c>
      <c r="G1043" s="5">
        <v>144</v>
      </c>
    </row>
    <row r="1044" spans="1:7" ht="16.5">
      <c r="A1044" s="5" t="s">
        <v>5294</v>
      </c>
      <c r="B1044" s="10" t="s">
        <v>5295</v>
      </c>
      <c r="C1044" s="5" t="s">
        <v>1028</v>
      </c>
      <c r="D1044" s="5" t="s">
        <v>5296</v>
      </c>
      <c r="E1044" s="5" t="s">
        <v>5226</v>
      </c>
      <c r="F1044" s="5">
        <v>28</v>
      </c>
      <c r="G1044" s="5">
        <v>168</v>
      </c>
    </row>
    <row r="1045" spans="1:7" ht="16.5">
      <c r="A1045" s="5" t="s">
        <v>5297</v>
      </c>
      <c r="B1045" s="10" t="s">
        <v>5298</v>
      </c>
      <c r="C1045" s="5" t="s">
        <v>1029</v>
      </c>
      <c r="D1045" s="5" t="s">
        <v>5299</v>
      </c>
      <c r="E1045" s="5" t="s">
        <v>5226</v>
      </c>
      <c r="F1045" s="5">
        <v>38</v>
      </c>
      <c r="G1045" s="5">
        <v>228</v>
      </c>
    </row>
    <row r="1046" spans="1:7" ht="16.5">
      <c r="A1046" s="5" t="s">
        <v>5300</v>
      </c>
      <c r="B1046" s="10" t="s">
        <v>5301</v>
      </c>
      <c r="C1046" s="5" t="s">
        <v>1030</v>
      </c>
      <c r="D1046" s="5" t="s">
        <v>5302</v>
      </c>
      <c r="E1046" s="5" t="s">
        <v>5226</v>
      </c>
      <c r="F1046" s="5">
        <v>66</v>
      </c>
      <c r="G1046" s="5">
        <v>396</v>
      </c>
    </row>
    <row r="1047" spans="1:7" ht="16.5">
      <c r="A1047" s="5" t="s">
        <v>5303</v>
      </c>
      <c r="B1047" s="10" t="s">
        <v>5304</v>
      </c>
      <c r="C1047" s="5" t="s">
        <v>1031</v>
      </c>
      <c r="D1047" s="5" t="s">
        <v>5305</v>
      </c>
      <c r="E1047" s="5" t="s">
        <v>5226</v>
      </c>
      <c r="F1047" s="5">
        <v>67</v>
      </c>
      <c r="G1047" s="5">
        <v>402</v>
      </c>
    </row>
    <row r="1048" spans="1:7" ht="16.5">
      <c r="A1048" s="5" t="s">
        <v>5306</v>
      </c>
      <c r="B1048" s="10" t="s">
        <v>5307</v>
      </c>
      <c r="C1048" s="5" t="s">
        <v>1032</v>
      </c>
      <c r="D1048" s="5" t="s">
        <v>5308</v>
      </c>
      <c r="E1048" s="5" t="s">
        <v>5226</v>
      </c>
      <c r="F1048" s="5">
        <v>72</v>
      </c>
      <c r="G1048" s="5">
        <v>432</v>
      </c>
    </row>
    <row r="1049" spans="1:7" ht="16.5">
      <c r="A1049" s="5" t="s">
        <v>5309</v>
      </c>
      <c r="B1049" s="10" t="s">
        <v>5310</v>
      </c>
      <c r="C1049" s="5" t="s">
        <v>1033</v>
      </c>
      <c r="D1049" s="5" t="s">
        <v>5311</v>
      </c>
      <c r="E1049" s="5" t="s">
        <v>5226</v>
      </c>
      <c r="F1049" s="5">
        <v>88</v>
      </c>
      <c r="G1049" s="5">
        <v>528</v>
      </c>
    </row>
    <row r="1050" spans="1:7" ht="16.5">
      <c r="A1050" s="5" t="s">
        <v>5312</v>
      </c>
      <c r="B1050" s="10" t="s">
        <v>5313</v>
      </c>
      <c r="C1050" s="5" t="s">
        <v>1034</v>
      </c>
      <c r="D1050" s="5" t="s">
        <v>5314</v>
      </c>
      <c r="E1050" s="5" t="s">
        <v>5226</v>
      </c>
      <c r="F1050" s="5">
        <v>48</v>
      </c>
      <c r="G1050" s="5">
        <v>288</v>
      </c>
    </row>
    <row r="1051" spans="1:7" ht="16.5">
      <c r="A1051" s="5" t="s">
        <v>5315</v>
      </c>
      <c r="B1051" s="10" t="s">
        <v>5316</v>
      </c>
      <c r="C1051" s="5" t="s">
        <v>1035</v>
      </c>
      <c r="D1051" s="5" t="s">
        <v>5317</v>
      </c>
      <c r="E1051" s="5" t="s">
        <v>5226</v>
      </c>
      <c r="F1051" s="5">
        <v>42</v>
      </c>
      <c r="G1051" s="5">
        <v>252</v>
      </c>
    </row>
    <row r="1052" spans="1:7" ht="16.5">
      <c r="A1052" s="5" t="s">
        <v>5318</v>
      </c>
      <c r="B1052" s="10" t="s">
        <v>5319</v>
      </c>
      <c r="C1052" s="5" t="s">
        <v>1036</v>
      </c>
      <c r="D1052" s="5" t="s">
        <v>5320</v>
      </c>
      <c r="E1052" s="5" t="s">
        <v>5226</v>
      </c>
      <c r="F1052" s="5">
        <v>38</v>
      </c>
      <c r="G1052" s="5">
        <v>228</v>
      </c>
    </row>
    <row r="1053" spans="1:7" ht="16.5">
      <c r="A1053" s="5" t="s">
        <v>5321</v>
      </c>
      <c r="B1053" s="10" t="s">
        <v>5322</v>
      </c>
      <c r="C1053" s="5" t="s">
        <v>1037</v>
      </c>
      <c r="D1053" s="5" t="s">
        <v>5323</v>
      </c>
      <c r="E1053" s="5" t="s">
        <v>5226</v>
      </c>
      <c r="F1053" s="5">
        <v>20</v>
      </c>
      <c r="G1053" s="5">
        <v>120</v>
      </c>
    </row>
    <row r="1054" spans="1:7" ht="16.5">
      <c r="A1054" s="5" t="s">
        <v>5324</v>
      </c>
      <c r="B1054" s="10" t="s">
        <v>5325</v>
      </c>
      <c r="C1054" s="5" t="s">
        <v>1038</v>
      </c>
      <c r="D1054" s="5" t="s">
        <v>5326</v>
      </c>
      <c r="E1054" s="5" t="s">
        <v>5226</v>
      </c>
      <c r="F1054" s="5">
        <v>35</v>
      </c>
      <c r="G1054" s="5">
        <v>210</v>
      </c>
    </row>
    <row r="1055" spans="1:7" ht="16.5">
      <c r="A1055" s="5" t="s">
        <v>5327</v>
      </c>
      <c r="B1055" s="10" t="s">
        <v>5328</v>
      </c>
      <c r="C1055" s="5" t="s">
        <v>1039</v>
      </c>
      <c r="D1055" s="5" t="s">
        <v>5329</v>
      </c>
      <c r="E1055" s="5" t="s">
        <v>5226</v>
      </c>
      <c r="F1055" s="5">
        <v>98</v>
      </c>
      <c r="G1055" s="5">
        <v>588</v>
      </c>
    </row>
    <row r="1056" spans="1:7" ht="16.5">
      <c r="A1056" s="5" t="s">
        <v>5330</v>
      </c>
      <c r="B1056" s="10" t="s">
        <v>5331</v>
      </c>
      <c r="C1056" s="5" t="s">
        <v>1040</v>
      </c>
      <c r="D1056" s="5" t="s">
        <v>5332</v>
      </c>
      <c r="E1056" s="5" t="s">
        <v>5226</v>
      </c>
      <c r="F1056" s="5">
        <v>48</v>
      </c>
      <c r="G1056" s="5">
        <v>288</v>
      </c>
    </row>
    <row r="1057" spans="1:7" ht="16.5">
      <c r="A1057" s="5" t="s">
        <v>5333</v>
      </c>
      <c r="B1057" s="10" t="s">
        <v>5334</v>
      </c>
      <c r="C1057" s="5" t="s">
        <v>1041</v>
      </c>
      <c r="D1057" s="5" t="s">
        <v>5335</v>
      </c>
      <c r="E1057" s="5" t="s">
        <v>5226</v>
      </c>
      <c r="F1057" s="5">
        <v>58</v>
      </c>
      <c r="G1057" s="5">
        <v>348</v>
      </c>
    </row>
    <row r="1058" spans="1:7" ht="16.5">
      <c r="A1058" s="5" t="s">
        <v>5336</v>
      </c>
      <c r="B1058" s="10" t="s">
        <v>5337</v>
      </c>
      <c r="C1058" s="5" t="s">
        <v>1042</v>
      </c>
      <c r="D1058" s="5" t="s">
        <v>5338</v>
      </c>
      <c r="E1058" s="5" t="s">
        <v>5226</v>
      </c>
      <c r="F1058" s="5">
        <v>25</v>
      </c>
      <c r="G1058" s="5">
        <v>150</v>
      </c>
    </row>
    <row r="1059" spans="1:7" ht="16.5">
      <c r="A1059" s="5" t="s">
        <v>5339</v>
      </c>
      <c r="B1059" s="10" t="s">
        <v>5340</v>
      </c>
      <c r="C1059" s="5" t="s">
        <v>1043</v>
      </c>
      <c r="D1059" s="5" t="s">
        <v>5341</v>
      </c>
      <c r="E1059" s="5" t="s">
        <v>5226</v>
      </c>
      <c r="F1059" s="5">
        <v>38</v>
      </c>
      <c r="G1059" s="5">
        <v>228</v>
      </c>
    </row>
    <row r="1060" spans="1:7" ht="16.5">
      <c r="A1060" s="5" t="s">
        <v>5342</v>
      </c>
      <c r="B1060" s="10" t="s">
        <v>5343</v>
      </c>
      <c r="C1060" s="5" t="s">
        <v>1044</v>
      </c>
      <c r="D1060" s="5" t="s">
        <v>5344</v>
      </c>
      <c r="E1060" s="5" t="s">
        <v>5226</v>
      </c>
      <c r="F1060" s="5">
        <v>48</v>
      </c>
      <c r="G1060" s="5">
        <v>288</v>
      </c>
    </row>
    <row r="1061" spans="1:7" ht="16.5">
      <c r="A1061" s="5" t="s">
        <v>5345</v>
      </c>
      <c r="B1061" s="10" t="s">
        <v>5346</v>
      </c>
      <c r="C1061" s="5" t="s">
        <v>1045</v>
      </c>
      <c r="D1061" s="5" t="s">
        <v>5347</v>
      </c>
      <c r="E1061" s="5" t="s">
        <v>5226</v>
      </c>
      <c r="F1061" s="5">
        <v>35</v>
      </c>
      <c r="G1061" s="5">
        <v>210</v>
      </c>
    </row>
    <row r="1062" spans="1:7" ht="16.5">
      <c r="A1062" s="5" t="s">
        <v>5348</v>
      </c>
      <c r="B1062" s="10" t="s">
        <v>5349</v>
      </c>
      <c r="C1062" s="5" t="s">
        <v>1046</v>
      </c>
      <c r="D1062" s="5" t="s">
        <v>5350</v>
      </c>
      <c r="E1062" s="5" t="s">
        <v>5226</v>
      </c>
      <c r="F1062" s="5">
        <v>58</v>
      </c>
      <c r="G1062" s="5">
        <v>348</v>
      </c>
    </row>
    <row r="1063" spans="1:7" ht="16.5">
      <c r="A1063" s="5" t="s">
        <v>5351</v>
      </c>
      <c r="B1063" s="10" t="s">
        <v>5352</v>
      </c>
      <c r="C1063" s="5" t="s">
        <v>1047</v>
      </c>
      <c r="D1063" s="5" t="s">
        <v>5353</v>
      </c>
      <c r="E1063" s="5" t="s">
        <v>5226</v>
      </c>
      <c r="F1063" s="5">
        <v>45</v>
      </c>
      <c r="G1063" s="5">
        <v>270</v>
      </c>
    </row>
    <row r="1064" spans="1:7" ht="16.5">
      <c r="A1064" s="5" t="s">
        <v>5354</v>
      </c>
      <c r="B1064" s="10" t="s">
        <v>5355</v>
      </c>
      <c r="C1064" s="5" t="s">
        <v>1048</v>
      </c>
      <c r="D1064" s="5" t="s">
        <v>5356</v>
      </c>
      <c r="E1064" s="5" t="s">
        <v>5357</v>
      </c>
      <c r="F1064" s="5">
        <v>28</v>
      </c>
      <c r="G1064" s="5">
        <v>168</v>
      </c>
    </row>
    <row r="1065" spans="1:7" ht="16.5">
      <c r="A1065" s="5" t="s">
        <v>5358</v>
      </c>
      <c r="B1065" s="10" t="s">
        <v>5359</v>
      </c>
      <c r="C1065" s="5" t="s">
        <v>1049</v>
      </c>
      <c r="D1065" s="5" t="s">
        <v>5360</v>
      </c>
      <c r="E1065" s="5" t="s">
        <v>5357</v>
      </c>
      <c r="F1065" s="5">
        <v>18</v>
      </c>
      <c r="G1065" s="5">
        <v>108</v>
      </c>
    </row>
    <row r="1066" spans="1:7" ht="16.5">
      <c r="A1066" s="5" t="s">
        <v>5361</v>
      </c>
      <c r="B1066" s="10" t="s">
        <v>5362</v>
      </c>
      <c r="C1066" s="5" t="s">
        <v>1050</v>
      </c>
      <c r="D1066" s="5" t="s">
        <v>5363</v>
      </c>
      <c r="E1066" s="5" t="s">
        <v>5357</v>
      </c>
      <c r="F1066" s="5">
        <v>38</v>
      </c>
      <c r="G1066" s="5">
        <v>228</v>
      </c>
    </row>
    <row r="1067" spans="1:7" ht="16.5">
      <c r="A1067" s="5" t="s">
        <v>5364</v>
      </c>
      <c r="B1067" s="10" t="s">
        <v>5365</v>
      </c>
      <c r="C1067" s="5" t="s">
        <v>1051</v>
      </c>
      <c r="D1067" s="5" t="s">
        <v>5366</v>
      </c>
      <c r="E1067" s="5" t="s">
        <v>5357</v>
      </c>
      <c r="F1067" s="5">
        <v>32</v>
      </c>
      <c r="G1067" s="5">
        <v>192</v>
      </c>
    </row>
    <row r="1068" spans="1:7" ht="16.5">
      <c r="A1068" s="5" t="s">
        <v>5367</v>
      </c>
      <c r="B1068" s="10" t="s">
        <v>5368</v>
      </c>
      <c r="C1068" s="5" t="s">
        <v>1052</v>
      </c>
      <c r="D1068" s="5" t="s">
        <v>5369</v>
      </c>
      <c r="E1068" s="5" t="s">
        <v>2236</v>
      </c>
      <c r="F1068" s="5"/>
      <c r="G1068" s="5">
        <v>75</v>
      </c>
    </row>
    <row r="1069" spans="1:7" ht="16.5">
      <c r="A1069" s="5" t="s">
        <v>5370</v>
      </c>
      <c r="B1069" s="10" t="s">
        <v>2236</v>
      </c>
      <c r="C1069" s="5" t="s">
        <v>1053</v>
      </c>
      <c r="D1069" s="5" t="s">
        <v>5371</v>
      </c>
      <c r="E1069" s="5" t="s">
        <v>2236</v>
      </c>
      <c r="F1069" s="5"/>
      <c r="G1069" s="5">
        <v>95</v>
      </c>
    </row>
    <row r="1070" spans="1:7" ht="16.5">
      <c r="A1070" s="5" t="s">
        <v>5372</v>
      </c>
      <c r="B1070" s="10" t="s">
        <v>5373</v>
      </c>
      <c r="C1070" s="5" t="s">
        <v>1054</v>
      </c>
      <c r="D1070" s="5" t="s">
        <v>5371</v>
      </c>
      <c r="E1070" s="5" t="s">
        <v>2236</v>
      </c>
      <c r="F1070" s="5"/>
      <c r="G1070" s="5">
        <v>75</v>
      </c>
    </row>
    <row r="1071" spans="1:7" ht="16.5">
      <c r="A1071" s="5" t="s">
        <v>5374</v>
      </c>
      <c r="B1071" s="10" t="s">
        <v>5375</v>
      </c>
      <c r="C1071" s="5" t="s">
        <v>1055</v>
      </c>
      <c r="D1071" s="5" t="s">
        <v>5376</v>
      </c>
      <c r="E1071" s="5" t="s">
        <v>2940</v>
      </c>
      <c r="F1071" s="5">
        <v>30</v>
      </c>
      <c r="G1071" s="5">
        <v>180</v>
      </c>
    </row>
    <row r="1072" spans="1:7" ht="16.5">
      <c r="A1072" s="5" t="s">
        <v>5377</v>
      </c>
      <c r="B1072" s="10" t="s">
        <v>5378</v>
      </c>
      <c r="C1072" s="5" t="s">
        <v>1056</v>
      </c>
      <c r="D1072" s="5" t="s">
        <v>5379</v>
      </c>
      <c r="E1072" s="5" t="s">
        <v>2940</v>
      </c>
      <c r="F1072" s="5">
        <v>30</v>
      </c>
      <c r="G1072" s="5">
        <v>180</v>
      </c>
    </row>
    <row r="1073" spans="1:7" ht="16.5">
      <c r="A1073" s="5" t="s">
        <v>5380</v>
      </c>
      <c r="B1073" s="10" t="s">
        <v>5381</v>
      </c>
      <c r="C1073" s="5" t="s">
        <v>1057</v>
      </c>
      <c r="D1073" s="5" t="s">
        <v>5382</v>
      </c>
      <c r="E1073" s="5" t="s">
        <v>5383</v>
      </c>
      <c r="F1073" s="5">
        <v>36</v>
      </c>
      <c r="G1073" s="5">
        <v>216</v>
      </c>
    </row>
    <row r="1074" spans="1:7" ht="16.5">
      <c r="A1074" s="5" t="s">
        <v>5384</v>
      </c>
      <c r="B1074" s="10" t="s">
        <v>5385</v>
      </c>
      <c r="C1074" s="5" t="s">
        <v>1058</v>
      </c>
      <c r="D1074" s="5" t="s">
        <v>5386</v>
      </c>
      <c r="E1074" s="5" t="s">
        <v>5383</v>
      </c>
      <c r="F1074" s="5">
        <v>35</v>
      </c>
      <c r="G1074" s="5">
        <v>210</v>
      </c>
    </row>
    <row r="1075" spans="1:7" ht="16.5">
      <c r="A1075" s="5" t="s">
        <v>5387</v>
      </c>
      <c r="B1075" s="10" t="s">
        <v>5388</v>
      </c>
      <c r="C1075" s="5" t="s">
        <v>1059</v>
      </c>
      <c r="D1075" s="5" t="s">
        <v>5389</v>
      </c>
      <c r="E1075" s="5" t="s">
        <v>5383</v>
      </c>
      <c r="F1075" s="5">
        <v>29</v>
      </c>
      <c r="G1075" s="5">
        <v>174</v>
      </c>
    </row>
    <row r="1076" spans="1:7" ht="16.5">
      <c r="A1076" s="5" t="s">
        <v>5390</v>
      </c>
      <c r="B1076" s="10" t="s">
        <v>5391</v>
      </c>
      <c r="C1076" s="5" t="s">
        <v>1060</v>
      </c>
      <c r="D1076" s="5" t="s">
        <v>5392</v>
      </c>
      <c r="E1076" s="5" t="s">
        <v>5383</v>
      </c>
      <c r="F1076" s="5">
        <v>39</v>
      </c>
      <c r="G1076" s="5">
        <v>234</v>
      </c>
    </row>
    <row r="1077" spans="1:7" ht="16.5">
      <c r="A1077" s="5" t="s">
        <v>5393</v>
      </c>
      <c r="B1077" s="10" t="s">
        <v>5394</v>
      </c>
      <c r="C1077" s="5" t="s">
        <v>1061</v>
      </c>
      <c r="D1077" s="5" t="s">
        <v>5395</v>
      </c>
      <c r="E1077" s="5" t="s">
        <v>5383</v>
      </c>
      <c r="F1077" s="5">
        <v>35</v>
      </c>
      <c r="G1077" s="5">
        <v>210</v>
      </c>
    </row>
    <row r="1078" spans="1:7" ht="16.5">
      <c r="A1078" s="5" t="s">
        <v>5396</v>
      </c>
      <c r="B1078" s="10" t="s">
        <v>5397</v>
      </c>
      <c r="C1078" s="5" t="s">
        <v>1062</v>
      </c>
      <c r="D1078" s="5" t="s">
        <v>2899</v>
      </c>
      <c r="E1078" s="5" t="s">
        <v>5398</v>
      </c>
      <c r="F1078" s="5">
        <v>19.8</v>
      </c>
      <c r="G1078" s="5">
        <v>119</v>
      </c>
    </row>
    <row r="1079" spans="1:7" ht="16.5">
      <c r="A1079" s="5" t="s">
        <v>5399</v>
      </c>
      <c r="B1079" s="10" t="s">
        <v>5400</v>
      </c>
      <c r="C1079" s="5" t="s">
        <v>1063</v>
      </c>
      <c r="D1079" s="5" t="s">
        <v>5401</v>
      </c>
      <c r="E1079" s="5" t="s">
        <v>5398</v>
      </c>
      <c r="F1079" s="5">
        <v>58</v>
      </c>
      <c r="G1079" s="5">
        <v>348</v>
      </c>
    </row>
    <row r="1080" spans="1:7" ht="16.5">
      <c r="A1080" s="5" t="s">
        <v>5402</v>
      </c>
      <c r="B1080" s="10" t="s">
        <v>5403</v>
      </c>
      <c r="C1080" s="5" t="s">
        <v>1064</v>
      </c>
      <c r="D1080" s="5" t="s">
        <v>2899</v>
      </c>
      <c r="E1080" s="5" t="s">
        <v>5398</v>
      </c>
      <c r="F1080" s="5">
        <v>58</v>
      </c>
      <c r="G1080" s="5">
        <v>348</v>
      </c>
    </row>
    <row r="1081" spans="1:7" ht="16.5">
      <c r="A1081" s="5" t="s">
        <v>5404</v>
      </c>
      <c r="B1081" s="10" t="s">
        <v>5405</v>
      </c>
      <c r="C1081" s="5" t="s">
        <v>1065</v>
      </c>
      <c r="D1081" s="5" t="s">
        <v>2899</v>
      </c>
      <c r="E1081" s="5" t="s">
        <v>5398</v>
      </c>
      <c r="F1081" s="5">
        <v>58</v>
      </c>
      <c r="G1081" s="5">
        <v>348</v>
      </c>
    </row>
    <row r="1082" spans="1:7" ht="16.5">
      <c r="A1082" s="5" t="s">
        <v>5406</v>
      </c>
      <c r="B1082" s="10" t="s">
        <v>5407</v>
      </c>
      <c r="C1082" s="5" t="s">
        <v>1066</v>
      </c>
      <c r="D1082" s="5" t="s">
        <v>5408</v>
      </c>
      <c r="E1082" s="5" t="s">
        <v>5398</v>
      </c>
      <c r="F1082" s="5">
        <v>45</v>
      </c>
      <c r="G1082" s="5">
        <v>270</v>
      </c>
    </row>
    <row r="1083" spans="1:7" ht="16.5">
      <c r="A1083" s="5" t="s">
        <v>5409</v>
      </c>
      <c r="B1083" s="10" t="s">
        <v>5410</v>
      </c>
      <c r="C1083" s="5" t="s">
        <v>1067</v>
      </c>
      <c r="D1083" s="5" t="s">
        <v>5411</v>
      </c>
      <c r="E1083" s="5" t="s">
        <v>5412</v>
      </c>
      <c r="F1083" s="5">
        <v>16.8</v>
      </c>
      <c r="G1083" s="5">
        <v>101</v>
      </c>
    </row>
    <row r="1084" spans="1:7" ht="16.5">
      <c r="A1084" s="5" t="s">
        <v>5413</v>
      </c>
      <c r="B1084" s="10" t="s">
        <v>5414</v>
      </c>
      <c r="C1084" s="5" t="s">
        <v>1068</v>
      </c>
      <c r="D1084" s="5" t="s">
        <v>5411</v>
      </c>
      <c r="E1084" s="5" t="s">
        <v>5412</v>
      </c>
      <c r="F1084" s="5">
        <v>16.8</v>
      </c>
      <c r="G1084" s="5">
        <v>101</v>
      </c>
    </row>
    <row r="1085" spans="1:7" ht="16.5">
      <c r="A1085" s="5" t="s">
        <v>5415</v>
      </c>
      <c r="B1085" s="10" t="s">
        <v>5416</v>
      </c>
      <c r="C1085" s="5" t="s">
        <v>1069</v>
      </c>
      <c r="D1085" s="5" t="s">
        <v>5417</v>
      </c>
      <c r="E1085" s="5" t="s">
        <v>5418</v>
      </c>
      <c r="F1085" s="5">
        <v>63</v>
      </c>
      <c r="G1085" s="5">
        <v>380</v>
      </c>
    </row>
    <row r="1086" spans="1:7" ht="16.5">
      <c r="A1086" s="5" t="s">
        <v>5419</v>
      </c>
      <c r="B1086" s="10" t="s">
        <v>5416</v>
      </c>
      <c r="C1086" s="5" t="s">
        <v>1070</v>
      </c>
      <c r="D1086" s="5" t="s">
        <v>5420</v>
      </c>
      <c r="E1086" s="5" t="s">
        <v>5418</v>
      </c>
      <c r="F1086" s="5">
        <v>63</v>
      </c>
      <c r="G1086" s="5">
        <v>380</v>
      </c>
    </row>
    <row r="1087" spans="1:7" ht="16.5">
      <c r="A1087" s="5" t="s">
        <v>5421</v>
      </c>
      <c r="B1087" s="10" t="s">
        <v>5416</v>
      </c>
      <c r="C1087" s="5" t="s">
        <v>1071</v>
      </c>
      <c r="D1087" s="5" t="s">
        <v>5422</v>
      </c>
      <c r="E1087" s="5" t="s">
        <v>5418</v>
      </c>
      <c r="F1087" s="5">
        <v>63</v>
      </c>
      <c r="G1087" s="5">
        <v>380</v>
      </c>
    </row>
    <row r="1088" spans="1:7" ht="16.5">
      <c r="A1088" s="5" t="s">
        <v>5423</v>
      </c>
      <c r="B1088" s="10" t="s">
        <v>5416</v>
      </c>
      <c r="C1088" s="5" t="s">
        <v>1072</v>
      </c>
      <c r="D1088" s="5" t="s">
        <v>5424</v>
      </c>
      <c r="E1088" s="5" t="s">
        <v>5418</v>
      </c>
      <c r="F1088" s="5">
        <v>63</v>
      </c>
      <c r="G1088" s="5">
        <v>380</v>
      </c>
    </row>
    <row r="1089" spans="1:7" ht="16.5">
      <c r="A1089" s="5" t="s">
        <v>5425</v>
      </c>
      <c r="B1089" s="10" t="s">
        <v>5416</v>
      </c>
      <c r="C1089" s="5" t="s">
        <v>1073</v>
      </c>
      <c r="D1089" s="5" t="s">
        <v>5426</v>
      </c>
      <c r="E1089" s="5" t="s">
        <v>5418</v>
      </c>
      <c r="F1089" s="5">
        <v>63</v>
      </c>
      <c r="G1089" s="5">
        <v>380</v>
      </c>
    </row>
    <row r="1090" spans="1:7" ht="16.5">
      <c r="A1090" s="5" t="s">
        <v>5427</v>
      </c>
      <c r="B1090" s="10" t="s">
        <v>5416</v>
      </c>
      <c r="C1090" s="5" t="s">
        <v>1074</v>
      </c>
      <c r="D1090" s="5" t="s">
        <v>5428</v>
      </c>
      <c r="E1090" s="5" t="s">
        <v>5418</v>
      </c>
      <c r="F1090" s="5">
        <v>63</v>
      </c>
      <c r="G1090" s="5">
        <v>380</v>
      </c>
    </row>
    <row r="1091" spans="1:7" ht="16.5">
      <c r="A1091" s="5" t="s">
        <v>5429</v>
      </c>
      <c r="B1091" s="10" t="s">
        <v>5430</v>
      </c>
      <c r="C1091" s="5" t="s">
        <v>1075</v>
      </c>
      <c r="D1091" s="5" t="s">
        <v>2236</v>
      </c>
      <c r="E1091" s="5" t="s">
        <v>5431</v>
      </c>
      <c r="F1091" s="5">
        <v>18</v>
      </c>
      <c r="G1091" s="5">
        <v>108</v>
      </c>
    </row>
    <row r="1092" spans="1:7" ht="16.5">
      <c r="A1092" s="5" t="s">
        <v>5432</v>
      </c>
      <c r="B1092" s="10" t="s">
        <v>5433</v>
      </c>
      <c r="C1092" s="5" t="s">
        <v>1076</v>
      </c>
      <c r="D1092" s="5" t="s">
        <v>5434</v>
      </c>
      <c r="E1092" s="5" t="s">
        <v>5431</v>
      </c>
      <c r="F1092" s="5">
        <v>26</v>
      </c>
      <c r="G1092" s="5">
        <v>156</v>
      </c>
    </row>
    <row r="1093" spans="1:7" ht="16.5">
      <c r="A1093" s="5" t="s">
        <v>5435</v>
      </c>
      <c r="B1093" s="10" t="s">
        <v>5436</v>
      </c>
      <c r="C1093" s="5" t="s">
        <v>1077</v>
      </c>
      <c r="D1093" s="5" t="s">
        <v>5437</v>
      </c>
      <c r="E1093" s="5" t="s">
        <v>5431</v>
      </c>
      <c r="F1093" s="5">
        <v>22</v>
      </c>
      <c r="G1093" s="5">
        <v>132</v>
      </c>
    </row>
    <row r="1094" spans="1:7" ht="16.5">
      <c r="A1094" s="5" t="s">
        <v>5438</v>
      </c>
      <c r="B1094" s="10" t="s">
        <v>5439</v>
      </c>
      <c r="C1094" s="5" t="s">
        <v>1078</v>
      </c>
      <c r="D1094" s="5" t="s">
        <v>5440</v>
      </c>
      <c r="E1094" s="5" t="s">
        <v>5431</v>
      </c>
      <c r="F1094" s="5">
        <v>18</v>
      </c>
      <c r="G1094" s="5">
        <v>108</v>
      </c>
    </row>
    <row r="1095" spans="1:7" ht="16.5">
      <c r="A1095" s="5" t="s">
        <v>5441</v>
      </c>
      <c r="B1095" s="10" t="s">
        <v>5442</v>
      </c>
      <c r="C1095" s="5" t="s">
        <v>1079</v>
      </c>
      <c r="D1095" s="5" t="s">
        <v>5443</v>
      </c>
      <c r="E1095" s="5" t="s">
        <v>5431</v>
      </c>
      <c r="F1095" s="5">
        <v>22</v>
      </c>
      <c r="G1095" s="5">
        <v>132</v>
      </c>
    </row>
    <row r="1096" spans="1:7" ht="16.5">
      <c r="A1096" s="5" t="s">
        <v>5444</v>
      </c>
      <c r="B1096" s="10" t="s">
        <v>5445</v>
      </c>
      <c r="C1096" s="5" t="s">
        <v>1080</v>
      </c>
      <c r="D1096" s="5" t="s">
        <v>5446</v>
      </c>
      <c r="E1096" s="5" t="s">
        <v>5431</v>
      </c>
      <c r="F1096" s="5">
        <v>22</v>
      </c>
      <c r="G1096" s="5">
        <v>132</v>
      </c>
    </row>
    <row r="1097" spans="1:7" ht="16.5">
      <c r="A1097" s="5" t="s">
        <v>5447</v>
      </c>
      <c r="B1097" s="10" t="s">
        <v>5448</v>
      </c>
      <c r="C1097" s="5" t="s">
        <v>1081</v>
      </c>
      <c r="D1097" s="5" t="s">
        <v>5449</v>
      </c>
      <c r="E1097" s="5" t="s">
        <v>5431</v>
      </c>
      <c r="F1097" s="5">
        <v>35</v>
      </c>
      <c r="G1097" s="5">
        <v>210</v>
      </c>
    </row>
    <row r="1098" spans="1:7" ht="16.5">
      <c r="A1098" s="5" t="s">
        <v>5450</v>
      </c>
      <c r="B1098" s="10" t="s">
        <v>5451</v>
      </c>
      <c r="C1098" s="5" t="s">
        <v>1082</v>
      </c>
      <c r="D1098" s="5" t="s">
        <v>5452</v>
      </c>
      <c r="E1098" s="5" t="s">
        <v>5431</v>
      </c>
      <c r="F1098" s="5">
        <v>28</v>
      </c>
      <c r="G1098" s="5">
        <v>168</v>
      </c>
    </row>
    <row r="1099" spans="1:7" ht="16.5">
      <c r="A1099" s="5" t="s">
        <v>5453</v>
      </c>
      <c r="B1099" s="10" t="s">
        <v>5454</v>
      </c>
      <c r="C1099" s="5" t="s">
        <v>1083</v>
      </c>
      <c r="D1099" s="5" t="s">
        <v>5455</v>
      </c>
      <c r="E1099" s="5" t="s">
        <v>5431</v>
      </c>
      <c r="F1099" s="5">
        <v>79</v>
      </c>
      <c r="G1099" s="5">
        <v>474</v>
      </c>
    </row>
    <row r="1100" spans="1:7" ht="16.5">
      <c r="A1100" s="5" t="s">
        <v>5456</v>
      </c>
      <c r="B1100" s="10" t="s">
        <v>5457</v>
      </c>
      <c r="C1100" s="5" t="s">
        <v>1084</v>
      </c>
      <c r="D1100" s="5" t="s">
        <v>5458</v>
      </c>
      <c r="E1100" s="5" t="s">
        <v>5431</v>
      </c>
      <c r="F1100" s="5">
        <v>26</v>
      </c>
      <c r="G1100" s="5">
        <v>156</v>
      </c>
    </row>
    <row r="1101" spans="1:7" ht="16.5">
      <c r="A1101" s="5" t="s">
        <v>5459</v>
      </c>
      <c r="B1101" s="10" t="s">
        <v>5460</v>
      </c>
      <c r="C1101" s="5" t="s">
        <v>1085</v>
      </c>
      <c r="D1101" s="5" t="s">
        <v>5461</v>
      </c>
      <c r="E1101" s="5" t="s">
        <v>5431</v>
      </c>
      <c r="F1101" s="5">
        <v>38</v>
      </c>
      <c r="G1101" s="5">
        <v>228</v>
      </c>
    </row>
    <row r="1102" spans="1:7" ht="16.5">
      <c r="A1102" s="5" t="s">
        <v>5462</v>
      </c>
      <c r="B1102" s="10" t="s">
        <v>5463</v>
      </c>
      <c r="C1102" s="5" t="s">
        <v>1086</v>
      </c>
      <c r="D1102" s="5" t="s">
        <v>5464</v>
      </c>
      <c r="E1102" s="5" t="s">
        <v>5431</v>
      </c>
      <c r="F1102" s="5">
        <v>1680</v>
      </c>
      <c r="G1102" s="5">
        <v>10080</v>
      </c>
    </row>
    <row r="1103" spans="1:7" ht="16.5">
      <c r="A1103" s="5" t="s">
        <v>5465</v>
      </c>
      <c r="B1103" s="10" t="s">
        <v>5466</v>
      </c>
      <c r="C1103" s="5" t="s">
        <v>1087</v>
      </c>
      <c r="D1103" s="5" t="s">
        <v>5467</v>
      </c>
      <c r="E1103" s="5" t="s">
        <v>5431</v>
      </c>
      <c r="F1103" s="5">
        <v>32</v>
      </c>
      <c r="G1103" s="5">
        <v>192</v>
      </c>
    </row>
    <row r="1104" spans="1:7" ht="16.5">
      <c r="A1104" s="5" t="s">
        <v>5468</v>
      </c>
      <c r="B1104" s="10" t="s">
        <v>5469</v>
      </c>
      <c r="C1104" s="5" t="s">
        <v>1088</v>
      </c>
      <c r="D1104" s="5" t="s">
        <v>5470</v>
      </c>
      <c r="E1104" s="5" t="s">
        <v>5431</v>
      </c>
      <c r="F1104" s="5">
        <v>39</v>
      </c>
      <c r="G1104" s="5">
        <v>234</v>
      </c>
    </row>
    <row r="1105" spans="1:7" ht="16.5">
      <c r="A1105" s="5" t="s">
        <v>5471</v>
      </c>
      <c r="B1105" s="10" t="s">
        <v>5472</v>
      </c>
      <c r="C1105" s="5" t="s">
        <v>1089</v>
      </c>
      <c r="D1105" s="5" t="s">
        <v>5473</v>
      </c>
      <c r="E1105" s="5" t="s">
        <v>5431</v>
      </c>
      <c r="F1105" s="5">
        <v>48</v>
      </c>
      <c r="G1105" s="5">
        <v>288</v>
      </c>
    </row>
    <row r="1106" spans="1:7" ht="16.5">
      <c r="A1106" s="5" t="s">
        <v>5474</v>
      </c>
      <c r="B1106" s="10" t="s">
        <v>5475</v>
      </c>
      <c r="C1106" s="5" t="s">
        <v>1090</v>
      </c>
      <c r="D1106" s="5" t="s">
        <v>5476</v>
      </c>
      <c r="E1106" s="5" t="s">
        <v>5431</v>
      </c>
      <c r="F1106" s="5">
        <v>39</v>
      </c>
      <c r="G1106" s="5">
        <v>234</v>
      </c>
    </row>
    <row r="1107" spans="1:7" ht="16.5">
      <c r="A1107" s="5" t="s">
        <v>5477</v>
      </c>
      <c r="B1107" s="10" t="s">
        <v>5478</v>
      </c>
      <c r="C1107" s="5" t="s">
        <v>1091</v>
      </c>
      <c r="D1107" s="5" t="s">
        <v>5479</v>
      </c>
      <c r="E1107" s="5" t="s">
        <v>5431</v>
      </c>
      <c r="F1107" s="5">
        <v>29</v>
      </c>
      <c r="G1107" s="5">
        <v>174</v>
      </c>
    </row>
    <row r="1108" spans="1:7" ht="16.5">
      <c r="A1108" s="5" t="s">
        <v>5480</v>
      </c>
      <c r="B1108" s="10" t="s">
        <v>5481</v>
      </c>
      <c r="C1108" s="5" t="s">
        <v>1092</v>
      </c>
      <c r="D1108" s="5" t="s">
        <v>5482</v>
      </c>
      <c r="E1108" s="5" t="s">
        <v>5431</v>
      </c>
      <c r="F1108" s="5">
        <v>36</v>
      </c>
      <c r="G1108" s="5">
        <v>216</v>
      </c>
    </row>
    <row r="1109" spans="1:7" ht="16.5">
      <c r="A1109" s="5" t="s">
        <v>5483</v>
      </c>
      <c r="B1109" s="10" t="s">
        <v>5484</v>
      </c>
      <c r="C1109" s="5" t="s">
        <v>1093</v>
      </c>
      <c r="D1109" s="5" t="s">
        <v>5485</v>
      </c>
      <c r="E1109" s="5" t="s">
        <v>5431</v>
      </c>
      <c r="F1109" s="5">
        <v>30</v>
      </c>
      <c r="G1109" s="5">
        <v>180</v>
      </c>
    </row>
    <row r="1110" spans="1:7" ht="16.5">
      <c r="A1110" s="5" t="s">
        <v>5486</v>
      </c>
      <c r="B1110" s="10" t="s">
        <v>5487</v>
      </c>
      <c r="C1110" s="5" t="s">
        <v>1094</v>
      </c>
      <c r="D1110" s="5" t="s">
        <v>5488</v>
      </c>
      <c r="E1110" s="5" t="s">
        <v>5431</v>
      </c>
      <c r="F1110" s="5">
        <v>29</v>
      </c>
      <c r="G1110" s="5">
        <v>174</v>
      </c>
    </row>
    <row r="1111" spans="1:7" ht="16.5">
      <c r="A1111" s="5" t="s">
        <v>5489</v>
      </c>
      <c r="B1111" s="10" t="s">
        <v>5490</v>
      </c>
      <c r="C1111" s="5" t="s">
        <v>1095</v>
      </c>
      <c r="D1111" s="5" t="s">
        <v>5491</v>
      </c>
      <c r="E1111" s="5" t="s">
        <v>5431</v>
      </c>
      <c r="F1111" s="5">
        <v>32</v>
      </c>
      <c r="G1111" s="5">
        <v>192</v>
      </c>
    </row>
    <row r="1112" spans="1:7" ht="16.5">
      <c r="A1112" s="5" t="s">
        <v>5492</v>
      </c>
      <c r="B1112" s="10" t="s">
        <v>5493</v>
      </c>
      <c r="C1112" s="5" t="s">
        <v>1096</v>
      </c>
      <c r="D1112" s="5" t="s">
        <v>5494</v>
      </c>
      <c r="E1112" s="5" t="s">
        <v>5431</v>
      </c>
      <c r="F1112" s="5">
        <v>75</v>
      </c>
      <c r="G1112" s="5">
        <v>450</v>
      </c>
    </row>
    <row r="1113" spans="1:7" ht="16.5">
      <c r="A1113" s="5" t="s">
        <v>5495</v>
      </c>
      <c r="B1113" s="10" t="s">
        <v>5496</v>
      </c>
      <c r="C1113" s="5" t="s">
        <v>1097</v>
      </c>
      <c r="D1113" s="5" t="s">
        <v>5497</v>
      </c>
      <c r="E1113" s="5" t="s">
        <v>5431</v>
      </c>
      <c r="F1113" s="5">
        <v>55</v>
      </c>
      <c r="G1113" s="5">
        <v>330</v>
      </c>
    </row>
    <row r="1114" spans="1:7" ht="16.5">
      <c r="A1114" s="5" t="s">
        <v>5498</v>
      </c>
      <c r="B1114" s="10" t="s">
        <v>5499</v>
      </c>
      <c r="C1114" s="5" t="s">
        <v>1098</v>
      </c>
      <c r="D1114" s="5" t="s">
        <v>5500</v>
      </c>
      <c r="E1114" s="5" t="s">
        <v>5431</v>
      </c>
      <c r="F1114" s="5">
        <v>37</v>
      </c>
      <c r="G1114" s="5">
        <v>222</v>
      </c>
    </row>
    <row r="1115" spans="1:7" ht="16.5">
      <c r="A1115" s="5" t="s">
        <v>5501</v>
      </c>
      <c r="B1115" s="10" t="s">
        <v>5502</v>
      </c>
      <c r="C1115" s="5" t="s">
        <v>1099</v>
      </c>
      <c r="D1115" s="5" t="s">
        <v>5503</v>
      </c>
      <c r="E1115" s="5" t="s">
        <v>5431</v>
      </c>
      <c r="F1115" s="5">
        <v>26</v>
      </c>
      <c r="G1115" s="5">
        <v>156</v>
      </c>
    </row>
    <row r="1116" spans="1:7" ht="16.5">
      <c r="A1116" s="5" t="s">
        <v>5504</v>
      </c>
      <c r="B1116" s="10" t="s">
        <v>5505</v>
      </c>
      <c r="C1116" s="5" t="s">
        <v>1100</v>
      </c>
      <c r="D1116" s="5" t="s">
        <v>5506</v>
      </c>
      <c r="E1116" s="5" t="s">
        <v>5431</v>
      </c>
      <c r="F1116" s="5">
        <v>45</v>
      </c>
      <c r="G1116" s="5">
        <v>270</v>
      </c>
    </row>
    <row r="1117" spans="1:7" ht="16.5">
      <c r="A1117" s="5" t="s">
        <v>5507</v>
      </c>
      <c r="B1117" s="10" t="s">
        <v>5508</v>
      </c>
      <c r="C1117" s="5" t="s">
        <v>5</v>
      </c>
      <c r="D1117" s="5" t="s">
        <v>5509</v>
      </c>
      <c r="E1117" s="5" t="s">
        <v>5431</v>
      </c>
      <c r="F1117" s="5">
        <v>24</v>
      </c>
      <c r="G1117" s="5">
        <v>144</v>
      </c>
    </row>
    <row r="1118" spans="1:7" ht="16.5">
      <c r="A1118" s="5" t="s">
        <v>5510</v>
      </c>
      <c r="B1118" s="10" t="s">
        <v>5511</v>
      </c>
      <c r="C1118" s="5" t="s">
        <v>1101</v>
      </c>
      <c r="D1118" s="5" t="s">
        <v>5512</v>
      </c>
      <c r="E1118" s="5" t="s">
        <v>5431</v>
      </c>
      <c r="F1118" s="5">
        <v>29</v>
      </c>
      <c r="G1118" s="5">
        <v>174</v>
      </c>
    </row>
    <row r="1119" spans="1:7" ht="16.5">
      <c r="A1119" s="5" t="s">
        <v>5513</v>
      </c>
      <c r="B1119" s="10" t="s">
        <v>5514</v>
      </c>
      <c r="C1119" s="5" t="s">
        <v>1102</v>
      </c>
      <c r="D1119" s="5" t="s">
        <v>5515</v>
      </c>
      <c r="E1119" s="5" t="s">
        <v>5431</v>
      </c>
      <c r="F1119" s="5">
        <v>28</v>
      </c>
      <c r="G1119" s="5">
        <v>168</v>
      </c>
    </row>
    <row r="1120" spans="1:7" ht="16.5">
      <c r="A1120" s="5" t="s">
        <v>5516</v>
      </c>
      <c r="B1120" s="10" t="s">
        <v>5517</v>
      </c>
      <c r="C1120" s="5" t="s">
        <v>1103</v>
      </c>
      <c r="D1120" s="5" t="s">
        <v>5518</v>
      </c>
      <c r="E1120" s="5" t="s">
        <v>5431</v>
      </c>
      <c r="F1120" s="5">
        <v>30</v>
      </c>
      <c r="G1120" s="5">
        <v>180</v>
      </c>
    </row>
    <row r="1121" spans="1:7" ht="16.5">
      <c r="A1121" s="5" t="s">
        <v>5519</v>
      </c>
      <c r="B1121" s="10" t="s">
        <v>5520</v>
      </c>
      <c r="C1121" s="5" t="s">
        <v>1104</v>
      </c>
      <c r="D1121" s="5" t="s">
        <v>5521</v>
      </c>
      <c r="E1121" s="5" t="s">
        <v>5431</v>
      </c>
      <c r="F1121" s="5">
        <v>25</v>
      </c>
      <c r="G1121" s="5">
        <v>150</v>
      </c>
    </row>
    <row r="1122" spans="1:7" ht="16.5">
      <c r="A1122" s="5" t="s">
        <v>5522</v>
      </c>
      <c r="B1122" s="10" t="s">
        <v>5523</v>
      </c>
      <c r="C1122" s="5" t="s">
        <v>1105</v>
      </c>
      <c r="D1122" s="5" t="s">
        <v>5524</v>
      </c>
      <c r="E1122" s="5" t="s">
        <v>5431</v>
      </c>
      <c r="F1122" s="5">
        <v>28</v>
      </c>
      <c r="G1122" s="5">
        <v>168</v>
      </c>
    </row>
    <row r="1123" spans="1:7" ht="16.5">
      <c r="A1123" s="5" t="s">
        <v>5525</v>
      </c>
      <c r="B1123" s="10" t="s">
        <v>5526</v>
      </c>
      <c r="C1123" s="5" t="s">
        <v>1106</v>
      </c>
      <c r="D1123" s="5" t="s">
        <v>5527</v>
      </c>
      <c r="E1123" s="5" t="s">
        <v>5431</v>
      </c>
      <c r="F1123" s="5">
        <v>28</v>
      </c>
      <c r="G1123" s="5">
        <v>168</v>
      </c>
    </row>
    <row r="1124" spans="1:7" ht="16.5">
      <c r="A1124" s="5" t="s">
        <v>5528</v>
      </c>
      <c r="B1124" s="10" t="s">
        <v>5529</v>
      </c>
      <c r="C1124" s="5" t="s">
        <v>1107</v>
      </c>
      <c r="D1124" s="5" t="s">
        <v>5530</v>
      </c>
      <c r="E1124" s="5" t="s">
        <v>5431</v>
      </c>
      <c r="F1124" s="5">
        <v>27</v>
      </c>
      <c r="G1124" s="5">
        <v>162</v>
      </c>
    </row>
    <row r="1125" spans="1:7" ht="16.5">
      <c r="A1125" s="5" t="s">
        <v>5531</v>
      </c>
      <c r="B1125" s="10" t="s">
        <v>5532</v>
      </c>
      <c r="C1125" s="5" t="s">
        <v>1108</v>
      </c>
      <c r="D1125" s="5" t="s">
        <v>5533</v>
      </c>
      <c r="E1125" s="5" t="s">
        <v>5431</v>
      </c>
      <c r="F1125" s="5">
        <v>30</v>
      </c>
      <c r="G1125" s="5">
        <v>180</v>
      </c>
    </row>
    <row r="1126" spans="1:7" ht="16.5">
      <c r="A1126" s="5" t="s">
        <v>5534</v>
      </c>
      <c r="B1126" s="10" t="s">
        <v>5535</v>
      </c>
      <c r="C1126" s="5" t="s">
        <v>1109</v>
      </c>
      <c r="D1126" s="5" t="s">
        <v>5536</v>
      </c>
      <c r="E1126" s="5" t="s">
        <v>5431</v>
      </c>
      <c r="F1126" s="5">
        <v>40</v>
      </c>
      <c r="G1126" s="5">
        <v>240</v>
      </c>
    </row>
    <row r="1127" spans="1:7" ht="16.5">
      <c r="A1127" s="5" t="s">
        <v>5537</v>
      </c>
      <c r="B1127" s="10" t="s">
        <v>5538</v>
      </c>
      <c r="C1127" s="5" t="s">
        <v>1110</v>
      </c>
      <c r="D1127" s="5" t="s">
        <v>5539</v>
      </c>
      <c r="E1127" s="5" t="s">
        <v>5431</v>
      </c>
      <c r="F1127" s="5">
        <v>40</v>
      </c>
      <c r="G1127" s="5">
        <v>240</v>
      </c>
    </row>
    <row r="1128" spans="1:7" ht="16.5">
      <c r="A1128" s="5" t="s">
        <v>5540</v>
      </c>
      <c r="B1128" s="10" t="s">
        <v>5541</v>
      </c>
      <c r="C1128" s="5" t="s">
        <v>1111</v>
      </c>
      <c r="D1128" s="5" t="s">
        <v>5542</v>
      </c>
      <c r="E1128" s="5" t="s">
        <v>5431</v>
      </c>
      <c r="F1128" s="5">
        <v>34</v>
      </c>
      <c r="G1128" s="5">
        <v>204</v>
      </c>
    </row>
    <row r="1129" spans="1:7" ht="16.5">
      <c r="A1129" s="5" t="s">
        <v>5543</v>
      </c>
      <c r="B1129" s="10" t="s">
        <v>5544</v>
      </c>
      <c r="C1129" s="5" t="s">
        <v>1112</v>
      </c>
      <c r="D1129" s="5" t="s">
        <v>5545</v>
      </c>
      <c r="E1129" s="5" t="s">
        <v>5431</v>
      </c>
      <c r="F1129" s="5">
        <v>26</v>
      </c>
      <c r="G1129" s="5">
        <v>156</v>
      </c>
    </row>
    <row r="1130" spans="1:7" ht="16.5">
      <c r="A1130" s="5" t="s">
        <v>5546</v>
      </c>
      <c r="B1130" s="10" t="s">
        <v>5547</v>
      </c>
      <c r="C1130" s="5" t="s">
        <v>1113</v>
      </c>
      <c r="D1130" s="5" t="s">
        <v>5548</v>
      </c>
      <c r="E1130" s="5" t="s">
        <v>5549</v>
      </c>
      <c r="F1130" s="5">
        <v>33</v>
      </c>
      <c r="G1130" s="5">
        <v>198</v>
      </c>
    </row>
    <row r="1131" spans="1:7" ht="16.5">
      <c r="A1131" s="5" t="s">
        <v>5550</v>
      </c>
      <c r="B1131" s="10" t="s">
        <v>5551</v>
      </c>
      <c r="C1131" s="5" t="s">
        <v>1114</v>
      </c>
      <c r="D1131" s="5" t="s">
        <v>5552</v>
      </c>
      <c r="E1131" s="5" t="s">
        <v>5549</v>
      </c>
      <c r="F1131" s="5">
        <v>29.8</v>
      </c>
      <c r="G1131" s="5">
        <v>179</v>
      </c>
    </row>
    <row r="1132" spans="1:7" ht="16.5">
      <c r="A1132" s="5" t="s">
        <v>5553</v>
      </c>
      <c r="B1132" s="10" t="s">
        <v>5554</v>
      </c>
      <c r="C1132" s="5" t="s">
        <v>1115</v>
      </c>
      <c r="D1132" s="5" t="s">
        <v>5555</v>
      </c>
      <c r="E1132" s="5" t="s">
        <v>5556</v>
      </c>
      <c r="F1132" s="5">
        <v>38</v>
      </c>
      <c r="G1132" s="5">
        <v>228</v>
      </c>
    </row>
    <row r="1133" spans="1:7" ht="16.5">
      <c r="A1133" s="5" t="s">
        <v>5557</v>
      </c>
      <c r="B1133" s="10" t="s">
        <v>5558</v>
      </c>
      <c r="C1133" s="5" t="s">
        <v>1116</v>
      </c>
      <c r="D1133" s="5" t="s">
        <v>5559</v>
      </c>
      <c r="E1133" s="5" t="s">
        <v>2236</v>
      </c>
      <c r="F1133" s="5"/>
      <c r="G1133" s="5">
        <v>100</v>
      </c>
    </row>
    <row r="1134" spans="1:7" ht="16.5">
      <c r="A1134" s="5" t="s">
        <v>5560</v>
      </c>
      <c r="B1134" s="10" t="s">
        <v>5561</v>
      </c>
      <c r="C1134" s="5" t="s">
        <v>1117</v>
      </c>
      <c r="D1134" s="5" t="s">
        <v>5562</v>
      </c>
      <c r="E1134" s="5" t="s">
        <v>5563</v>
      </c>
      <c r="F1134" s="5">
        <v>28</v>
      </c>
      <c r="G1134" s="5">
        <v>168</v>
      </c>
    </row>
    <row r="1135" spans="1:7" ht="16.5">
      <c r="A1135" s="5" t="s">
        <v>5564</v>
      </c>
      <c r="B1135" s="10" t="s">
        <v>5565</v>
      </c>
      <c r="C1135" s="5" t="s">
        <v>1118</v>
      </c>
      <c r="D1135" s="5" t="s">
        <v>5566</v>
      </c>
      <c r="E1135" s="5" t="s">
        <v>5563</v>
      </c>
      <c r="F1135" s="5">
        <v>24.8</v>
      </c>
      <c r="G1135" s="5">
        <v>149</v>
      </c>
    </row>
    <row r="1136" spans="1:7" ht="16.5">
      <c r="A1136" s="5" t="s">
        <v>5567</v>
      </c>
      <c r="B1136" s="10" t="s">
        <v>5568</v>
      </c>
      <c r="C1136" s="5" t="s">
        <v>1119</v>
      </c>
      <c r="D1136" s="5" t="s">
        <v>5569</v>
      </c>
      <c r="E1136" s="5" t="s">
        <v>5570</v>
      </c>
      <c r="F1136" s="5">
        <v>45</v>
      </c>
      <c r="G1136" s="5">
        <v>270</v>
      </c>
    </row>
    <row r="1137" spans="1:7" ht="16.5">
      <c r="A1137" s="5" t="s">
        <v>5571</v>
      </c>
      <c r="B1137" s="10" t="s">
        <v>5572</v>
      </c>
      <c r="C1137" s="5" t="s">
        <v>1121</v>
      </c>
      <c r="D1137" s="5" t="s">
        <v>5573</v>
      </c>
      <c r="E1137" s="5" t="s">
        <v>5574</v>
      </c>
      <c r="F1137" s="5">
        <v>24</v>
      </c>
      <c r="G1137" s="5">
        <v>144</v>
      </c>
    </row>
    <row r="1138" spans="1:7" ht="16.5">
      <c r="A1138" s="5" t="s">
        <v>5575</v>
      </c>
      <c r="B1138" s="10" t="s">
        <v>5576</v>
      </c>
      <c r="C1138" s="5" t="s">
        <v>1123</v>
      </c>
      <c r="D1138" s="5" t="s">
        <v>5577</v>
      </c>
      <c r="E1138" s="5" t="s">
        <v>5578</v>
      </c>
      <c r="F1138" s="5">
        <v>32</v>
      </c>
      <c r="G1138" s="5">
        <v>192</v>
      </c>
    </row>
    <row r="1139" spans="1:7" ht="16.5">
      <c r="A1139" s="5" t="s">
        <v>5579</v>
      </c>
      <c r="B1139" s="10" t="s">
        <v>5580</v>
      </c>
      <c r="C1139" s="5" t="s">
        <v>1124</v>
      </c>
      <c r="D1139" s="5" t="s">
        <v>5581</v>
      </c>
      <c r="E1139" s="5" t="s">
        <v>5582</v>
      </c>
      <c r="F1139" s="5">
        <v>80</v>
      </c>
      <c r="G1139" s="5">
        <v>480</v>
      </c>
    </row>
    <row r="1140" spans="1:7" ht="16.5">
      <c r="A1140" s="5" t="s">
        <v>5583</v>
      </c>
      <c r="B1140" s="10" t="s">
        <v>5584</v>
      </c>
      <c r="C1140" s="5" t="s">
        <v>1125</v>
      </c>
      <c r="D1140" s="5" t="s">
        <v>5585</v>
      </c>
      <c r="E1140" s="5" t="s">
        <v>5586</v>
      </c>
      <c r="F1140" s="5">
        <v>13</v>
      </c>
      <c r="G1140" s="5">
        <v>78</v>
      </c>
    </row>
    <row r="1141" spans="1:7" ht="16.5">
      <c r="A1141" s="5" t="s">
        <v>5587</v>
      </c>
      <c r="B1141" s="10" t="s">
        <v>5588</v>
      </c>
      <c r="C1141" s="5" t="s">
        <v>1126</v>
      </c>
      <c r="D1141" s="5" t="s">
        <v>5589</v>
      </c>
      <c r="E1141" s="5" t="s">
        <v>5586</v>
      </c>
      <c r="F1141" s="5">
        <v>11</v>
      </c>
      <c r="G1141" s="5">
        <v>66</v>
      </c>
    </row>
    <row r="1142" spans="1:7" ht="16.5">
      <c r="A1142" s="5" t="s">
        <v>5590</v>
      </c>
      <c r="B1142" s="10" t="s">
        <v>5591</v>
      </c>
      <c r="C1142" s="5" t="s">
        <v>1127</v>
      </c>
      <c r="D1142" s="5" t="s">
        <v>2899</v>
      </c>
      <c r="E1142" s="5" t="s">
        <v>5592</v>
      </c>
      <c r="F1142" s="5">
        <v>31.6</v>
      </c>
      <c r="G1142" s="5">
        <v>190</v>
      </c>
    </row>
    <row r="1143" spans="1:7" ht="16.5">
      <c r="A1143" s="5" t="s">
        <v>5593</v>
      </c>
      <c r="B1143" s="10" t="s">
        <v>5594</v>
      </c>
      <c r="C1143" s="5" t="s">
        <v>1128</v>
      </c>
      <c r="D1143" s="5" t="s">
        <v>5595</v>
      </c>
      <c r="E1143" s="5" t="s">
        <v>5586</v>
      </c>
      <c r="F1143" s="5">
        <v>28</v>
      </c>
      <c r="G1143" s="5">
        <v>168</v>
      </c>
    </row>
    <row r="1144" spans="1:7" ht="16.5">
      <c r="A1144" s="5" t="s">
        <v>5596</v>
      </c>
      <c r="B1144" s="10" t="s">
        <v>5597</v>
      </c>
      <c r="C1144" s="5" t="s">
        <v>1129</v>
      </c>
      <c r="D1144" s="5" t="s">
        <v>5598</v>
      </c>
      <c r="E1144" s="5" t="s">
        <v>5586</v>
      </c>
      <c r="F1144" s="5">
        <v>39</v>
      </c>
      <c r="G1144" s="5">
        <v>234</v>
      </c>
    </row>
    <row r="1145" spans="1:7" ht="16.5">
      <c r="A1145" s="5" t="s">
        <v>5599</v>
      </c>
      <c r="B1145" s="10" t="s">
        <v>5600</v>
      </c>
      <c r="C1145" s="5" t="s">
        <v>1130</v>
      </c>
      <c r="D1145" s="5" t="s">
        <v>5601</v>
      </c>
      <c r="E1145" s="5" t="s">
        <v>5592</v>
      </c>
      <c r="F1145" s="5">
        <v>380</v>
      </c>
      <c r="G1145" s="5">
        <v>2280</v>
      </c>
    </row>
    <row r="1146" spans="1:7" ht="16.5">
      <c r="A1146" s="5" t="s">
        <v>5602</v>
      </c>
      <c r="B1146" s="10" t="s">
        <v>5603</v>
      </c>
      <c r="C1146" s="5" t="s">
        <v>1131</v>
      </c>
      <c r="D1146" s="5" t="s">
        <v>5604</v>
      </c>
      <c r="E1146" s="5" t="s">
        <v>5592</v>
      </c>
      <c r="F1146" s="5">
        <v>414</v>
      </c>
      <c r="G1146" s="5">
        <v>2484</v>
      </c>
    </row>
    <row r="1147" spans="1:7" ht="16.5">
      <c r="A1147" s="5" t="s">
        <v>5605</v>
      </c>
      <c r="B1147" s="10" t="s">
        <v>5606</v>
      </c>
      <c r="C1147" s="5" t="s">
        <v>1132</v>
      </c>
      <c r="D1147" s="5" t="s">
        <v>5607</v>
      </c>
      <c r="E1147" s="5" t="s">
        <v>5586</v>
      </c>
      <c r="F1147" s="5">
        <v>60</v>
      </c>
      <c r="G1147" s="5">
        <v>360</v>
      </c>
    </row>
    <row r="1148" spans="1:7" ht="16.5">
      <c r="A1148" s="5" t="s">
        <v>5608</v>
      </c>
      <c r="B1148" s="10" t="s">
        <v>5609</v>
      </c>
      <c r="C1148" s="5" t="s">
        <v>1133</v>
      </c>
      <c r="D1148" s="5" t="s">
        <v>5610</v>
      </c>
      <c r="E1148" s="5" t="s">
        <v>5592</v>
      </c>
      <c r="F1148" s="5">
        <v>38</v>
      </c>
      <c r="G1148" s="5">
        <v>228</v>
      </c>
    </row>
    <row r="1149" spans="1:7" ht="16.5">
      <c r="A1149" s="5" t="s">
        <v>5611</v>
      </c>
      <c r="B1149" s="10" t="s">
        <v>5612</v>
      </c>
      <c r="C1149" s="5" t="s">
        <v>1134</v>
      </c>
      <c r="D1149" s="5" t="s">
        <v>5613</v>
      </c>
      <c r="E1149" s="5" t="s">
        <v>5586</v>
      </c>
      <c r="F1149" s="5">
        <v>29.8</v>
      </c>
      <c r="G1149" s="5">
        <v>179</v>
      </c>
    </row>
    <row r="1150" spans="1:7" ht="16.5">
      <c r="A1150" s="5" t="s">
        <v>5614</v>
      </c>
      <c r="B1150" s="10" t="s">
        <v>5615</v>
      </c>
      <c r="C1150" s="5" t="s">
        <v>1135</v>
      </c>
      <c r="D1150" s="5" t="s">
        <v>5616</v>
      </c>
      <c r="E1150" s="5" t="s">
        <v>5586</v>
      </c>
      <c r="F1150" s="5">
        <v>13.8</v>
      </c>
      <c r="G1150" s="5">
        <v>83</v>
      </c>
    </row>
    <row r="1151" spans="1:7" ht="16.5">
      <c r="A1151" s="5" t="s">
        <v>5617</v>
      </c>
      <c r="B1151" s="10" t="s">
        <v>5618</v>
      </c>
      <c r="C1151" s="5" t="s">
        <v>1136</v>
      </c>
      <c r="D1151" s="5" t="s">
        <v>2503</v>
      </c>
      <c r="E1151" s="5" t="s">
        <v>5586</v>
      </c>
      <c r="F1151" s="5">
        <v>9.5</v>
      </c>
      <c r="G1151" s="5">
        <v>57</v>
      </c>
    </row>
    <row r="1152" spans="1:7" ht="16.5">
      <c r="A1152" s="5" t="s">
        <v>5619</v>
      </c>
      <c r="B1152" s="10" t="s">
        <v>5620</v>
      </c>
      <c r="C1152" s="5" t="s">
        <v>1137</v>
      </c>
      <c r="D1152" s="5" t="s">
        <v>2503</v>
      </c>
      <c r="E1152" s="5" t="s">
        <v>5586</v>
      </c>
      <c r="F1152" s="5">
        <v>12.6</v>
      </c>
      <c r="G1152" s="5">
        <v>76</v>
      </c>
    </row>
    <row r="1153" spans="1:7" ht="16.5">
      <c r="A1153" s="5" t="s">
        <v>5621</v>
      </c>
      <c r="B1153" s="10" t="s">
        <v>5622</v>
      </c>
      <c r="C1153" s="5" t="s">
        <v>1138</v>
      </c>
      <c r="D1153" s="5" t="s">
        <v>5623</v>
      </c>
      <c r="E1153" s="5" t="s">
        <v>5586</v>
      </c>
      <c r="F1153" s="5">
        <v>52</v>
      </c>
      <c r="G1153" s="5">
        <v>312</v>
      </c>
    </row>
    <row r="1154" spans="1:7" ht="16.5">
      <c r="A1154" s="5" t="s">
        <v>5624</v>
      </c>
      <c r="B1154" s="10" t="s">
        <v>5625</v>
      </c>
      <c r="C1154" s="5" t="s">
        <v>1139</v>
      </c>
      <c r="D1154" s="5" t="s">
        <v>5626</v>
      </c>
      <c r="E1154" s="5" t="s">
        <v>5586</v>
      </c>
      <c r="F1154" s="5">
        <v>39</v>
      </c>
      <c r="G1154" s="5">
        <v>234</v>
      </c>
    </row>
    <row r="1155" spans="1:7" ht="16.5">
      <c r="A1155" s="5" t="s">
        <v>5627</v>
      </c>
      <c r="B1155" s="10" t="s">
        <v>5628</v>
      </c>
      <c r="C1155" s="5" t="s">
        <v>1140</v>
      </c>
      <c r="D1155" s="5" t="s">
        <v>5629</v>
      </c>
      <c r="E1155" s="5" t="s">
        <v>5586</v>
      </c>
      <c r="F1155" s="5">
        <v>9.5</v>
      </c>
      <c r="G1155" s="5">
        <v>57</v>
      </c>
    </row>
    <row r="1156" spans="1:7" ht="16.5">
      <c r="A1156" s="5" t="s">
        <v>5630</v>
      </c>
      <c r="B1156" s="10" t="s">
        <v>5631</v>
      </c>
      <c r="C1156" s="5" t="s">
        <v>1141</v>
      </c>
      <c r="D1156" s="5" t="s">
        <v>5632</v>
      </c>
      <c r="E1156" s="5" t="s">
        <v>5586</v>
      </c>
      <c r="F1156" s="5">
        <v>18</v>
      </c>
      <c r="G1156" s="5">
        <v>108</v>
      </c>
    </row>
    <row r="1157" spans="1:7" ht="16.5">
      <c r="A1157" s="5" t="s">
        <v>5633</v>
      </c>
      <c r="B1157" s="10" t="s">
        <v>5634</v>
      </c>
      <c r="C1157" s="5" t="s">
        <v>1142</v>
      </c>
      <c r="D1157" s="5" t="s">
        <v>5635</v>
      </c>
      <c r="E1157" s="5" t="s">
        <v>5636</v>
      </c>
      <c r="F1157" s="5">
        <v>38</v>
      </c>
      <c r="G1157" s="5">
        <v>228</v>
      </c>
    </row>
    <row r="1158" spans="1:7" ht="16.5">
      <c r="A1158" s="5" t="s">
        <v>5637</v>
      </c>
      <c r="B1158" s="10" t="s">
        <v>5638</v>
      </c>
      <c r="C1158" s="5" t="s">
        <v>1143</v>
      </c>
      <c r="D1158" s="5" t="s">
        <v>5639</v>
      </c>
      <c r="E1158" s="5" t="s">
        <v>5636</v>
      </c>
      <c r="F1158" s="5">
        <v>20</v>
      </c>
      <c r="G1158" s="5">
        <v>120</v>
      </c>
    </row>
    <row r="1159" spans="1:7" ht="16.5">
      <c r="A1159" s="5" t="s">
        <v>5640</v>
      </c>
      <c r="B1159" s="10" t="s">
        <v>5641</v>
      </c>
      <c r="C1159" s="5" t="s">
        <v>1144</v>
      </c>
      <c r="D1159" s="5" t="s">
        <v>5642</v>
      </c>
      <c r="E1159" s="5" t="s">
        <v>5636</v>
      </c>
      <c r="F1159" s="5">
        <v>20</v>
      </c>
      <c r="G1159" s="5">
        <v>120</v>
      </c>
    </row>
    <row r="1160" spans="1:7" ht="16.5">
      <c r="A1160" s="5" t="s">
        <v>5643</v>
      </c>
      <c r="B1160" s="10" t="s">
        <v>5644</v>
      </c>
      <c r="C1160" s="5" t="s">
        <v>1145</v>
      </c>
      <c r="D1160" s="5" t="s">
        <v>5645</v>
      </c>
      <c r="E1160" s="5" t="s">
        <v>5636</v>
      </c>
      <c r="F1160" s="5">
        <v>20</v>
      </c>
      <c r="G1160" s="5">
        <v>120</v>
      </c>
    </row>
    <row r="1161" spans="1:7" ht="16.5">
      <c r="A1161" s="5" t="s">
        <v>5646</v>
      </c>
      <c r="B1161" s="10" t="s">
        <v>5647</v>
      </c>
      <c r="C1161" s="5" t="s">
        <v>1146</v>
      </c>
      <c r="D1161" s="5" t="s">
        <v>5648</v>
      </c>
      <c r="E1161" s="5" t="s">
        <v>5636</v>
      </c>
      <c r="F1161" s="5">
        <v>20</v>
      </c>
      <c r="G1161" s="5">
        <v>120</v>
      </c>
    </row>
    <row r="1162" spans="1:7" ht="16.5">
      <c r="A1162" s="5" t="s">
        <v>5649</v>
      </c>
      <c r="B1162" s="10" t="s">
        <v>5650</v>
      </c>
      <c r="C1162" s="5" t="s">
        <v>1147</v>
      </c>
      <c r="D1162" s="5" t="s">
        <v>5651</v>
      </c>
      <c r="E1162" s="5" t="s">
        <v>5636</v>
      </c>
      <c r="F1162" s="5">
        <v>20</v>
      </c>
      <c r="G1162" s="5">
        <v>120</v>
      </c>
    </row>
    <row r="1163" spans="1:7" ht="16.5">
      <c r="A1163" s="5" t="s">
        <v>5652</v>
      </c>
      <c r="B1163" s="10" t="s">
        <v>5653</v>
      </c>
      <c r="C1163" s="5" t="s">
        <v>1148</v>
      </c>
      <c r="D1163" s="5" t="s">
        <v>5654</v>
      </c>
      <c r="E1163" s="5" t="s">
        <v>5636</v>
      </c>
      <c r="F1163" s="5">
        <v>20</v>
      </c>
      <c r="G1163" s="5">
        <v>120</v>
      </c>
    </row>
    <row r="1164" spans="1:7" ht="16.5">
      <c r="A1164" s="5" t="s">
        <v>5655</v>
      </c>
      <c r="B1164" s="10" t="s">
        <v>5656</v>
      </c>
      <c r="C1164" s="5" t="s">
        <v>1149</v>
      </c>
      <c r="D1164" s="5" t="s">
        <v>5657</v>
      </c>
      <c r="E1164" s="5" t="s">
        <v>5636</v>
      </c>
      <c r="F1164" s="5">
        <v>20</v>
      </c>
      <c r="G1164" s="5">
        <v>120</v>
      </c>
    </row>
    <row r="1165" spans="1:7" ht="16.5">
      <c r="A1165" s="5" t="s">
        <v>5658</v>
      </c>
      <c r="B1165" s="10" t="s">
        <v>5659</v>
      </c>
      <c r="C1165" s="5" t="s">
        <v>1150</v>
      </c>
      <c r="D1165" s="5" t="s">
        <v>5660</v>
      </c>
      <c r="E1165" s="5" t="s">
        <v>5636</v>
      </c>
      <c r="F1165" s="5">
        <v>20</v>
      </c>
      <c r="G1165" s="5">
        <v>120</v>
      </c>
    </row>
    <row r="1166" spans="1:7" ht="16.5">
      <c r="A1166" s="5" t="s">
        <v>5661</v>
      </c>
      <c r="B1166" s="10" t="s">
        <v>5662</v>
      </c>
      <c r="C1166" s="5" t="s">
        <v>1151</v>
      </c>
      <c r="D1166" s="5" t="s">
        <v>5663</v>
      </c>
      <c r="E1166" s="5" t="s">
        <v>5636</v>
      </c>
      <c r="F1166" s="5">
        <v>20</v>
      </c>
      <c r="G1166" s="5">
        <v>120</v>
      </c>
    </row>
    <row r="1167" spans="1:7" ht="16.5">
      <c r="A1167" s="5" t="s">
        <v>5664</v>
      </c>
      <c r="B1167" s="10" t="s">
        <v>5665</v>
      </c>
      <c r="C1167" s="5" t="s">
        <v>1152</v>
      </c>
      <c r="D1167" s="5" t="s">
        <v>5666</v>
      </c>
      <c r="E1167" s="5" t="s">
        <v>5636</v>
      </c>
      <c r="F1167" s="5">
        <v>100</v>
      </c>
      <c r="G1167" s="5">
        <v>600</v>
      </c>
    </row>
    <row r="1168" spans="1:7" ht="16.5">
      <c r="A1168" s="5" t="s">
        <v>5667</v>
      </c>
      <c r="B1168" s="10" t="s">
        <v>5668</v>
      </c>
      <c r="C1168" s="5" t="s">
        <v>1153</v>
      </c>
      <c r="D1168" s="5" t="s">
        <v>5669</v>
      </c>
      <c r="E1168" s="5" t="s">
        <v>5636</v>
      </c>
      <c r="F1168" s="5">
        <v>38</v>
      </c>
      <c r="G1168" s="5">
        <v>228</v>
      </c>
    </row>
    <row r="1169" spans="1:7" ht="16.5">
      <c r="A1169" s="5" t="s">
        <v>5670</v>
      </c>
      <c r="B1169" s="10" t="s">
        <v>5671</v>
      </c>
      <c r="C1169" s="5" t="s">
        <v>1154</v>
      </c>
      <c r="D1169" s="5" t="s">
        <v>5672</v>
      </c>
      <c r="E1169" s="5" t="s">
        <v>5636</v>
      </c>
      <c r="F1169" s="5">
        <v>25</v>
      </c>
      <c r="G1169" s="5">
        <v>150</v>
      </c>
    </row>
    <row r="1170" spans="1:7" ht="16.5">
      <c r="A1170" s="5" t="s">
        <v>5673</v>
      </c>
      <c r="B1170" s="10" t="s">
        <v>5674</v>
      </c>
      <c r="C1170" s="5" t="s">
        <v>1155</v>
      </c>
      <c r="D1170" s="5" t="s">
        <v>5675</v>
      </c>
      <c r="E1170" s="5" t="s">
        <v>5636</v>
      </c>
      <c r="F1170" s="5">
        <v>20</v>
      </c>
      <c r="G1170" s="5">
        <v>120</v>
      </c>
    </row>
    <row r="1171" spans="1:7" ht="16.5">
      <c r="A1171" s="5" t="s">
        <v>5676</v>
      </c>
      <c r="B1171" s="10" t="s">
        <v>5677</v>
      </c>
      <c r="C1171" s="5" t="s">
        <v>1156</v>
      </c>
      <c r="D1171" s="5" t="s">
        <v>5678</v>
      </c>
      <c r="E1171" s="5" t="s">
        <v>5636</v>
      </c>
      <c r="F1171" s="5">
        <v>980</v>
      </c>
      <c r="G1171" s="5">
        <v>5880</v>
      </c>
    </row>
    <row r="1172" spans="1:7" ht="16.5">
      <c r="A1172" s="5" t="s">
        <v>5679</v>
      </c>
      <c r="B1172" s="10" t="s">
        <v>5680</v>
      </c>
      <c r="C1172" s="5" t="s">
        <v>1157</v>
      </c>
      <c r="D1172" s="5" t="s">
        <v>5681</v>
      </c>
      <c r="E1172" s="5" t="s">
        <v>5682</v>
      </c>
      <c r="F1172" s="5">
        <v>22</v>
      </c>
      <c r="G1172" s="5">
        <v>132</v>
      </c>
    </row>
    <row r="1173" spans="1:7" ht="16.5">
      <c r="A1173" s="5" t="s">
        <v>5683</v>
      </c>
      <c r="B1173" s="10" t="s">
        <v>5684</v>
      </c>
      <c r="C1173" s="5" t="s">
        <v>1158</v>
      </c>
      <c r="D1173" s="5" t="s">
        <v>5685</v>
      </c>
      <c r="E1173" s="5" t="s">
        <v>5682</v>
      </c>
      <c r="F1173" s="5">
        <v>25</v>
      </c>
      <c r="G1173" s="5">
        <v>150</v>
      </c>
    </row>
    <row r="1174" spans="1:7" ht="16.5">
      <c r="A1174" s="5" t="s">
        <v>5686</v>
      </c>
      <c r="B1174" s="10" t="s">
        <v>5687</v>
      </c>
      <c r="C1174" s="5" t="s">
        <v>1159</v>
      </c>
      <c r="D1174" s="5" t="s">
        <v>5688</v>
      </c>
      <c r="E1174" s="5" t="s">
        <v>5682</v>
      </c>
      <c r="F1174" s="5">
        <v>25</v>
      </c>
      <c r="G1174" s="5">
        <v>150</v>
      </c>
    </row>
    <row r="1175" spans="1:7" ht="16.5">
      <c r="A1175" s="5" t="s">
        <v>5689</v>
      </c>
      <c r="B1175" s="10" t="s">
        <v>5690</v>
      </c>
      <c r="C1175" s="5" t="s">
        <v>1160</v>
      </c>
      <c r="D1175" s="5" t="s">
        <v>5691</v>
      </c>
      <c r="E1175" s="5" t="s">
        <v>5682</v>
      </c>
      <c r="F1175" s="5">
        <v>28</v>
      </c>
      <c r="G1175" s="5">
        <v>168</v>
      </c>
    </row>
    <row r="1176" spans="1:7" ht="16.5">
      <c r="A1176" s="5" t="s">
        <v>5692</v>
      </c>
      <c r="B1176" s="10" t="s">
        <v>5693</v>
      </c>
      <c r="C1176" s="5" t="s">
        <v>1161</v>
      </c>
      <c r="D1176" s="5" t="s">
        <v>5694</v>
      </c>
      <c r="E1176" s="5" t="s">
        <v>5682</v>
      </c>
      <c r="F1176" s="5">
        <v>30</v>
      </c>
      <c r="G1176" s="5">
        <v>180</v>
      </c>
    </row>
    <row r="1177" spans="1:7" ht="16.5">
      <c r="A1177" s="5" t="s">
        <v>5695</v>
      </c>
      <c r="B1177" s="10" t="s">
        <v>5696</v>
      </c>
      <c r="C1177" s="5" t="s">
        <v>1162</v>
      </c>
      <c r="D1177" s="5" t="s">
        <v>5697</v>
      </c>
      <c r="E1177" s="5" t="s">
        <v>5682</v>
      </c>
      <c r="F1177" s="5">
        <v>24.8</v>
      </c>
      <c r="G1177" s="5">
        <v>149</v>
      </c>
    </row>
    <row r="1178" spans="1:7" ht="16.5">
      <c r="A1178" s="5" t="s">
        <v>5698</v>
      </c>
      <c r="B1178" s="10" t="s">
        <v>5699</v>
      </c>
      <c r="C1178" s="5" t="s">
        <v>1163</v>
      </c>
      <c r="D1178" s="5" t="s">
        <v>5700</v>
      </c>
      <c r="E1178" s="5" t="s">
        <v>5682</v>
      </c>
      <c r="F1178" s="5">
        <v>30</v>
      </c>
      <c r="G1178" s="5">
        <v>180</v>
      </c>
    </row>
    <row r="1179" spans="1:7" ht="16.5">
      <c r="A1179" s="5" t="s">
        <v>5701</v>
      </c>
      <c r="B1179" s="10" t="s">
        <v>5702</v>
      </c>
      <c r="C1179" s="5" t="s">
        <v>1164</v>
      </c>
      <c r="D1179" s="5" t="s">
        <v>5703</v>
      </c>
      <c r="E1179" s="5" t="s">
        <v>5682</v>
      </c>
      <c r="F1179" s="5">
        <v>24.8</v>
      </c>
      <c r="G1179" s="5">
        <v>149</v>
      </c>
    </row>
    <row r="1180" spans="1:7" ht="16.5">
      <c r="A1180" s="5" t="s">
        <v>5704</v>
      </c>
      <c r="B1180" s="10" t="s">
        <v>5705</v>
      </c>
      <c r="C1180" s="5" t="s">
        <v>1165</v>
      </c>
      <c r="D1180" s="5" t="s">
        <v>5706</v>
      </c>
      <c r="E1180" s="5" t="s">
        <v>5707</v>
      </c>
      <c r="F1180" s="5">
        <v>18</v>
      </c>
      <c r="G1180" s="5">
        <v>108</v>
      </c>
    </row>
    <row r="1181" spans="1:7" ht="16.5">
      <c r="A1181" s="5" t="s">
        <v>5708</v>
      </c>
      <c r="B1181" s="10" t="s">
        <v>5709</v>
      </c>
      <c r="C1181" s="5" t="s">
        <v>1166</v>
      </c>
      <c r="D1181" s="5" t="s">
        <v>2337</v>
      </c>
      <c r="E1181" s="5" t="s">
        <v>5710</v>
      </c>
      <c r="F1181" s="5">
        <v>80</v>
      </c>
      <c r="G1181" s="5">
        <v>480</v>
      </c>
    </row>
    <row r="1182" spans="1:7" ht="16.5">
      <c r="A1182" s="5" t="s">
        <v>5711</v>
      </c>
      <c r="B1182" s="10" t="s">
        <v>5712</v>
      </c>
      <c r="C1182" s="5" t="s">
        <v>1167</v>
      </c>
      <c r="D1182" s="5" t="s">
        <v>5713</v>
      </c>
      <c r="E1182" s="5" t="s">
        <v>5710</v>
      </c>
      <c r="F1182" s="5">
        <v>58</v>
      </c>
      <c r="G1182" s="5">
        <v>348</v>
      </c>
    </row>
    <row r="1183" spans="1:7" ht="16.5">
      <c r="A1183" s="5" t="s">
        <v>5714</v>
      </c>
      <c r="B1183" s="10" t="s">
        <v>5715</v>
      </c>
      <c r="C1183" s="5" t="s">
        <v>1168</v>
      </c>
      <c r="D1183" s="5" t="s">
        <v>5716</v>
      </c>
      <c r="E1183" s="5" t="s">
        <v>5717</v>
      </c>
      <c r="F1183" s="5">
        <v>20</v>
      </c>
      <c r="G1183" s="5">
        <v>120</v>
      </c>
    </row>
    <row r="1184" spans="1:7" ht="16.5">
      <c r="A1184" s="5" t="s">
        <v>5718</v>
      </c>
      <c r="B1184" s="10" t="s">
        <v>5719</v>
      </c>
      <c r="C1184" s="5" t="s">
        <v>1169</v>
      </c>
      <c r="D1184" s="5" t="s">
        <v>5720</v>
      </c>
      <c r="E1184" s="5" t="s">
        <v>5721</v>
      </c>
      <c r="F1184" s="5">
        <v>24</v>
      </c>
      <c r="G1184" s="5">
        <v>144</v>
      </c>
    </row>
    <row r="1185" spans="1:7" ht="16.5">
      <c r="A1185" s="5" t="s">
        <v>5722</v>
      </c>
      <c r="B1185" s="10" t="s">
        <v>5723</v>
      </c>
      <c r="C1185" s="5" t="s">
        <v>1170</v>
      </c>
      <c r="D1185" s="5" t="s">
        <v>5724</v>
      </c>
      <c r="E1185" s="5" t="s">
        <v>5721</v>
      </c>
      <c r="F1185" s="5">
        <v>24</v>
      </c>
      <c r="G1185" s="5">
        <v>144</v>
      </c>
    </row>
    <row r="1186" spans="1:7" ht="16.5">
      <c r="A1186" s="5" t="s">
        <v>5725</v>
      </c>
      <c r="B1186" s="10" t="s">
        <v>5726</v>
      </c>
      <c r="C1186" s="5" t="s">
        <v>1171</v>
      </c>
      <c r="D1186" s="5" t="s">
        <v>5727</v>
      </c>
      <c r="E1186" s="5" t="s">
        <v>5721</v>
      </c>
      <c r="F1186" s="5">
        <v>10.8</v>
      </c>
      <c r="G1186" s="5">
        <v>65</v>
      </c>
    </row>
    <row r="1187" spans="1:7" ht="16.5">
      <c r="A1187" s="5" t="s">
        <v>5728</v>
      </c>
      <c r="B1187" s="10" t="s">
        <v>5729</v>
      </c>
      <c r="C1187" s="5" t="s">
        <v>1172</v>
      </c>
      <c r="D1187" s="5" t="s">
        <v>5730</v>
      </c>
      <c r="E1187" s="5" t="s">
        <v>5731</v>
      </c>
      <c r="F1187" s="5">
        <v>28</v>
      </c>
      <c r="G1187" s="5">
        <v>168</v>
      </c>
    </row>
    <row r="1188" spans="1:7" ht="16.5">
      <c r="A1188" s="5" t="s">
        <v>5732</v>
      </c>
      <c r="B1188" s="10" t="s">
        <v>5733</v>
      </c>
      <c r="C1188" s="5" t="s">
        <v>1173</v>
      </c>
      <c r="D1188" s="5" t="s">
        <v>5734</v>
      </c>
      <c r="E1188" s="5" t="s">
        <v>5731</v>
      </c>
      <c r="F1188" s="5">
        <v>30</v>
      </c>
      <c r="G1188" s="5">
        <v>180</v>
      </c>
    </row>
    <row r="1189" spans="1:7" ht="16.5">
      <c r="A1189" s="5" t="s">
        <v>5735</v>
      </c>
      <c r="B1189" s="10" t="s">
        <v>5736</v>
      </c>
      <c r="C1189" s="5" t="s">
        <v>1174</v>
      </c>
      <c r="D1189" s="5" t="s">
        <v>5737</v>
      </c>
      <c r="E1189" s="5" t="s">
        <v>5731</v>
      </c>
      <c r="F1189" s="5">
        <v>30</v>
      </c>
      <c r="G1189" s="5">
        <v>180</v>
      </c>
    </row>
    <row r="1190" spans="1:7" ht="16.5">
      <c r="A1190" s="5" t="s">
        <v>5738</v>
      </c>
      <c r="B1190" s="10" t="s">
        <v>5739</v>
      </c>
      <c r="C1190" s="5" t="s">
        <v>1175</v>
      </c>
      <c r="D1190" s="5" t="s">
        <v>5740</v>
      </c>
      <c r="E1190" s="5" t="s">
        <v>5731</v>
      </c>
      <c r="F1190" s="5">
        <v>30</v>
      </c>
      <c r="G1190" s="5">
        <v>180</v>
      </c>
    </row>
    <row r="1191" spans="1:7" ht="16.5">
      <c r="A1191" s="5" t="s">
        <v>5741</v>
      </c>
      <c r="B1191" s="10" t="s">
        <v>5742</v>
      </c>
      <c r="C1191" s="5" t="s">
        <v>1176</v>
      </c>
      <c r="D1191" s="5" t="s">
        <v>5743</v>
      </c>
      <c r="E1191" s="5" t="s">
        <v>5731</v>
      </c>
      <c r="F1191" s="5">
        <v>33</v>
      </c>
      <c r="G1191" s="5">
        <v>198</v>
      </c>
    </row>
    <row r="1192" spans="1:7" ht="16.5">
      <c r="A1192" s="5" t="s">
        <v>5744</v>
      </c>
      <c r="B1192" s="10" t="s">
        <v>5745</v>
      </c>
      <c r="C1192" s="5" t="s">
        <v>1177</v>
      </c>
      <c r="D1192" s="5" t="s">
        <v>5746</v>
      </c>
      <c r="E1192" s="5" t="s">
        <v>5731</v>
      </c>
      <c r="F1192" s="5">
        <v>48</v>
      </c>
      <c r="G1192" s="5">
        <v>288</v>
      </c>
    </row>
    <row r="1193" spans="1:7" ht="16.5">
      <c r="A1193" s="5" t="s">
        <v>5747</v>
      </c>
      <c r="B1193" s="10" t="s">
        <v>5748</v>
      </c>
      <c r="C1193" s="5" t="s">
        <v>1178</v>
      </c>
      <c r="D1193" s="5" t="s">
        <v>5749</v>
      </c>
      <c r="E1193" s="5" t="s">
        <v>5750</v>
      </c>
      <c r="F1193" s="5">
        <v>120</v>
      </c>
      <c r="G1193" s="5">
        <v>720</v>
      </c>
    </row>
    <row r="1194" spans="1:7" ht="16.5">
      <c r="A1194" s="5" t="s">
        <v>5751</v>
      </c>
      <c r="B1194" s="10" t="s">
        <v>5752</v>
      </c>
      <c r="C1194" s="5" t="s">
        <v>1179</v>
      </c>
      <c r="D1194" s="5" t="s">
        <v>5753</v>
      </c>
      <c r="E1194" s="5" t="s">
        <v>5750</v>
      </c>
      <c r="F1194" s="5">
        <v>38</v>
      </c>
      <c r="G1194" s="5">
        <v>228</v>
      </c>
    </row>
    <row r="1195" spans="1:7" ht="16.5">
      <c r="A1195" s="5" t="s">
        <v>5754</v>
      </c>
      <c r="B1195" s="10" t="s">
        <v>5755</v>
      </c>
      <c r="C1195" s="5" t="s">
        <v>1180</v>
      </c>
      <c r="D1195" s="5" t="s">
        <v>5756</v>
      </c>
      <c r="E1195" s="5" t="s">
        <v>3400</v>
      </c>
      <c r="F1195" s="5">
        <v>45</v>
      </c>
      <c r="G1195" s="5">
        <v>270</v>
      </c>
    </row>
    <row r="1196" spans="1:7" ht="16.5">
      <c r="A1196" s="5" t="s">
        <v>5757</v>
      </c>
      <c r="B1196" s="10" t="s">
        <v>5758</v>
      </c>
      <c r="C1196" s="5" t="s">
        <v>1181</v>
      </c>
      <c r="D1196" s="5" t="s">
        <v>5759</v>
      </c>
      <c r="E1196" s="5" t="s">
        <v>3400</v>
      </c>
      <c r="F1196" s="5">
        <v>16.8</v>
      </c>
      <c r="G1196" s="5">
        <v>101</v>
      </c>
    </row>
    <row r="1197" spans="1:7" ht="16.5">
      <c r="A1197" s="5" t="s">
        <v>5760</v>
      </c>
      <c r="B1197" s="10" t="s">
        <v>5761</v>
      </c>
      <c r="C1197" s="5" t="s">
        <v>1182</v>
      </c>
      <c r="D1197" s="5" t="s">
        <v>5762</v>
      </c>
      <c r="E1197" s="5" t="s">
        <v>3400</v>
      </c>
      <c r="F1197" s="5">
        <v>22</v>
      </c>
      <c r="G1197" s="5">
        <v>132</v>
      </c>
    </row>
    <row r="1198" spans="1:7" ht="16.5">
      <c r="A1198" s="5" t="s">
        <v>5763</v>
      </c>
      <c r="B1198" s="10" t="s">
        <v>5764</v>
      </c>
      <c r="C1198" s="5" t="s">
        <v>1183</v>
      </c>
      <c r="D1198" s="5" t="s">
        <v>5762</v>
      </c>
      <c r="E1198" s="5" t="s">
        <v>3400</v>
      </c>
      <c r="F1198" s="5">
        <v>22</v>
      </c>
      <c r="G1198" s="5">
        <v>132</v>
      </c>
    </row>
    <row r="1199" spans="1:7" ht="16.5">
      <c r="A1199" s="5" t="s">
        <v>5765</v>
      </c>
      <c r="B1199" s="10" t="s">
        <v>5766</v>
      </c>
      <c r="C1199" s="5" t="s">
        <v>1184</v>
      </c>
      <c r="D1199" s="5" t="s">
        <v>5767</v>
      </c>
      <c r="E1199" s="5" t="s">
        <v>3400</v>
      </c>
      <c r="F1199" s="5">
        <v>45</v>
      </c>
      <c r="G1199" s="5">
        <v>270</v>
      </c>
    </row>
    <row r="1200" spans="1:7" ht="16.5">
      <c r="A1200" s="5" t="s">
        <v>5768</v>
      </c>
      <c r="B1200" s="10" t="s">
        <v>5769</v>
      </c>
      <c r="C1200" s="5" t="s">
        <v>1185</v>
      </c>
      <c r="D1200" s="5" t="s">
        <v>5685</v>
      </c>
      <c r="E1200" s="5" t="s">
        <v>3400</v>
      </c>
      <c r="F1200" s="5">
        <v>23</v>
      </c>
      <c r="G1200" s="5">
        <v>138</v>
      </c>
    </row>
    <row r="1201" spans="1:7" ht="16.5">
      <c r="A1201" s="5" t="s">
        <v>5770</v>
      </c>
      <c r="B1201" s="10" t="s">
        <v>5771</v>
      </c>
      <c r="C1201" s="5" t="s">
        <v>1186</v>
      </c>
      <c r="D1201" s="5" t="s">
        <v>3297</v>
      </c>
      <c r="E1201" s="5" t="s">
        <v>5772</v>
      </c>
      <c r="F1201" s="5">
        <v>16</v>
      </c>
      <c r="G1201" s="5">
        <v>96</v>
      </c>
    </row>
    <row r="1202" spans="1:7" ht="16.5">
      <c r="A1202" s="5" t="s">
        <v>5773</v>
      </c>
      <c r="B1202" s="10" t="s">
        <v>5774</v>
      </c>
      <c r="C1202" s="5" t="s">
        <v>1187</v>
      </c>
      <c r="D1202" s="5" t="s">
        <v>3297</v>
      </c>
      <c r="E1202" s="5" t="s">
        <v>5775</v>
      </c>
      <c r="F1202" s="5">
        <v>8</v>
      </c>
      <c r="G1202" s="5">
        <v>48</v>
      </c>
    </row>
    <row r="1203" spans="1:7" ht="16.5">
      <c r="A1203" s="5" t="s">
        <v>5776</v>
      </c>
      <c r="B1203" s="10" t="s">
        <v>5777</v>
      </c>
      <c r="C1203" s="5" t="s">
        <v>1188</v>
      </c>
      <c r="D1203" s="5" t="s">
        <v>3297</v>
      </c>
      <c r="E1203" s="5" t="s">
        <v>5775</v>
      </c>
      <c r="F1203" s="5">
        <v>8</v>
      </c>
      <c r="G1203" s="5">
        <v>48</v>
      </c>
    </row>
    <row r="1204" spans="1:7" ht="16.5">
      <c r="A1204" s="5" t="s">
        <v>5778</v>
      </c>
      <c r="B1204" s="10" t="s">
        <v>5779</v>
      </c>
      <c r="C1204" s="5" t="s">
        <v>1189</v>
      </c>
      <c r="D1204" s="5" t="s">
        <v>2236</v>
      </c>
      <c r="E1204" s="5" t="s">
        <v>5772</v>
      </c>
      <c r="F1204" s="5">
        <v>28</v>
      </c>
      <c r="G1204" s="5">
        <v>168</v>
      </c>
    </row>
    <row r="1205" spans="1:7" ht="16.5">
      <c r="A1205" s="5" t="s">
        <v>5780</v>
      </c>
      <c r="B1205" s="10" t="s">
        <v>5781</v>
      </c>
      <c r="C1205" s="5" t="s">
        <v>1190</v>
      </c>
      <c r="D1205" s="5" t="s">
        <v>3297</v>
      </c>
      <c r="E1205" s="5" t="s">
        <v>5772</v>
      </c>
      <c r="F1205" s="5">
        <v>17</v>
      </c>
      <c r="G1205" s="5">
        <v>102</v>
      </c>
    </row>
    <row r="1206" spans="1:7" ht="16.5">
      <c r="A1206" s="5" t="s">
        <v>5782</v>
      </c>
      <c r="B1206" s="10" t="s">
        <v>5783</v>
      </c>
      <c r="C1206" s="5" t="s">
        <v>1191</v>
      </c>
      <c r="D1206" s="5" t="s">
        <v>3297</v>
      </c>
      <c r="E1206" s="5" t="s">
        <v>5772</v>
      </c>
      <c r="F1206" s="5">
        <v>17</v>
      </c>
      <c r="G1206" s="5">
        <v>102</v>
      </c>
    </row>
    <row r="1207" spans="1:7" ht="16.5">
      <c r="A1207" s="5" t="s">
        <v>5784</v>
      </c>
      <c r="B1207" s="10" t="s">
        <v>5785</v>
      </c>
      <c r="C1207" s="5" t="s">
        <v>1192</v>
      </c>
      <c r="D1207" s="5" t="s">
        <v>3297</v>
      </c>
      <c r="E1207" s="5" t="s">
        <v>5772</v>
      </c>
      <c r="F1207" s="5">
        <v>27.2</v>
      </c>
      <c r="G1207" s="5">
        <v>163</v>
      </c>
    </row>
    <row r="1208" spans="1:7" ht="16.5">
      <c r="A1208" s="5" t="s">
        <v>5786</v>
      </c>
      <c r="B1208" s="10" t="s">
        <v>5787</v>
      </c>
      <c r="C1208" s="5" t="s">
        <v>1193</v>
      </c>
      <c r="D1208" s="5" t="s">
        <v>3297</v>
      </c>
      <c r="E1208" s="5" t="s">
        <v>5772</v>
      </c>
      <c r="F1208" s="5">
        <v>17</v>
      </c>
      <c r="G1208" s="5">
        <v>102</v>
      </c>
    </row>
    <row r="1209" spans="1:7" ht="16.5">
      <c r="A1209" s="5" t="s">
        <v>5788</v>
      </c>
      <c r="B1209" s="10" t="s">
        <v>5789</v>
      </c>
      <c r="C1209" s="5" t="s">
        <v>1194</v>
      </c>
      <c r="D1209" s="5" t="s">
        <v>3297</v>
      </c>
      <c r="E1209" s="5" t="s">
        <v>5772</v>
      </c>
      <c r="F1209" s="5">
        <v>15.3</v>
      </c>
      <c r="G1209" s="5">
        <v>92</v>
      </c>
    </row>
    <row r="1210" spans="1:7" ht="16.5">
      <c r="A1210" s="5" t="s">
        <v>5790</v>
      </c>
      <c r="B1210" s="10" t="s">
        <v>5791</v>
      </c>
      <c r="C1210" s="5" t="s">
        <v>1195</v>
      </c>
      <c r="D1210" s="5" t="s">
        <v>3297</v>
      </c>
      <c r="E1210" s="5" t="s">
        <v>3298</v>
      </c>
      <c r="F1210" s="5">
        <v>6.8</v>
      </c>
      <c r="G1210" s="5">
        <v>41</v>
      </c>
    </row>
    <row r="1211" spans="1:7" ht="16.5">
      <c r="A1211" s="5" t="s">
        <v>5792</v>
      </c>
      <c r="B1211" s="10" t="s">
        <v>5791</v>
      </c>
      <c r="C1211" s="5" t="s">
        <v>1196</v>
      </c>
      <c r="D1211" s="5" t="s">
        <v>3297</v>
      </c>
      <c r="E1211" s="5" t="s">
        <v>3298</v>
      </c>
      <c r="F1211" s="5">
        <v>6.8</v>
      </c>
      <c r="G1211" s="5">
        <v>41</v>
      </c>
    </row>
    <row r="1212" spans="1:7" ht="16.5">
      <c r="A1212" s="5" t="s">
        <v>5793</v>
      </c>
      <c r="B1212" s="10" t="s">
        <v>5791</v>
      </c>
      <c r="C1212" s="5" t="s">
        <v>1197</v>
      </c>
      <c r="D1212" s="5" t="s">
        <v>3297</v>
      </c>
      <c r="E1212" s="5" t="s">
        <v>3298</v>
      </c>
      <c r="F1212" s="5">
        <v>6.8</v>
      </c>
      <c r="G1212" s="5">
        <v>41</v>
      </c>
    </row>
    <row r="1213" spans="1:7" ht="16.5">
      <c r="A1213" s="5" t="s">
        <v>5794</v>
      </c>
      <c r="B1213" s="10" t="s">
        <v>5791</v>
      </c>
      <c r="C1213" s="5" t="s">
        <v>1198</v>
      </c>
      <c r="D1213" s="5" t="s">
        <v>3297</v>
      </c>
      <c r="E1213" s="5" t="s">
        <v>3298</v>
      </c>
      <c r="F1213" s="5">
        <v>6.8</v>
      </c>
      <c r="G1213" s="5">
        <v>41</v>
      </c>
    </row>
    <row r="1214" spans="1:7" ht="16.5">
      <c r="A1214" s="5" t="s">
        <v>5795</v>
      </c>
      <c r="B1214" s="10" t="s">
        <v>5791</v>
      </c>
      <c r="C1214" s="5" t="s">
        <v>1199</v>
      </c>
      <c r="D1214" s="5" t="s">
        <v>3297</v>
      </c>
      <c r="E1214" s="5" t="s">
        <v>3298</v>
      </c>
      <c r="F1214" s="5">
        <v>6.8</v>
      </c>
      <c r="G1214" s="5">
        <v>41</v>
      </c>
    </row>
    <row r="1215" spans="1:7" ht="16.5">
      <c r="A1215" s="5" t="s">
        <v>5796</v>
      </c>
      <c r="B1215" s="10" t="s">
        <v>5791</v>
      </c>
      <c r="C1215" s="5" t="s">
        <v>1200</v>
      </c>
      <c r="D1215" s="5" t="s">
        <v>3297</v>
      </c>
      <c r="E1215" s="5" t="s">
        <v>3298</v>
      </c>
      <c r="F1215" s="5">
        <v>6.8</v>
      </c>
      <c r="G1215" s="5">
        <v>41</v>
      </c>
    </row>
    <row r="1216" spans="1:7" ht="16.5">
      <c r="A1216" s="5" t="s">
        <v>5797</v>
      </c>
      <c r="B1216" s="10" t="s">
        <v>5798</v>
      </c>
      <c r="C1216" s="5" t="s">
        <v>1201</v>
      </c>
      <c r="D1216" s="5" t="s">
        <v>3297</v>
      </c>
      <c r="E1216" s="5" t="s">
        <v>3298</v>
      </c>
      <c r="F1216" s="5">
        <v>6.8</v>
      </c>
      <c r="G1216" s="5">
        <v>41</v>
      </c>
    </row>
    <row r="1217" spans="1:7" ht="16.5">
      <c r="A1217" s="5" t="s">
        <v>5799</v>
      </c>
      <c r="B1217" s="10" t="s">
        <v>5798</v>
      </c>
      <c r="C1217" s="5" t="s">
        <v>1202</v>
      </c>
      <c r="D1217" s="5" t="s">
        <v>3297</v>
      </c>
      <c r="E1217" s="5" t="s">
        <v>3298</v>
      </c>
      <c r="F1217" s="5">
        <v>6.8</v>
      </c>
      <c r="G1217" s="5">
        <v>41</v>
      </c>
    </row>
    <row r="1218" spans="1:7" ht="16.5">
      <c r="A1218" s="5" t="s">
        <v>5800</v>
      </c>
      <c r="B1218" s="10" t="s">
        <v>5798</v>
      </c>
      <c r="C1218" s="5" t="s">
        <v>1203</v>
      </c>
      <c r="D1218" s="5" t="s">
        <v>3297</v>
      </c>
      <c r="E1218" s="5" t="s">
        <v>3298</v>
      </c>
      <c r="F1218" s="5">
        <v>6.8</v>
      </c>
      <c r="G1218" s="5">
        <v>41</v>
      </c>
    </row>
    <row r="1219" spans="1:7" ht="16.5">
      <c r="A1219" s="5" t="s">
        <v>5801</v>
      </c>
      <c r="B1219" s="10" t="s">
        <v>5798</v>
      </c>
      <c r="C1219" s="5" t="s">
        <v>1204</v>
      </c>
      <c r="D1219" s="5" t="s">
        <v>3297</v>
      </c>
      <c r="E1219" s="5" t="s">
        <v>3298</v>
      </c>
      <c r="F1219" s="5">
        <v>6.8</v>
      </c>
      <c r="G1219" s="5">
        <v>41</v>
      </c>
    </row>
    <row r="1220" spans="1:7" ht="16.5">
      <c r="A1220" s="5" t="s">
        <v>5802</v>
      </c>
      <c r="B1220" s="10" t="s">
        <v>5798</v>
      </c>
      <c r="C1220" s="5" t="s">
        <v>1205</v>
      </c>
      <c r="D1220" s="5" t="s">
        <v>3297</v>
      </c>
      <c r="E1220" s="5" t="s">
        <v>3298</v>
      </c>
      <c r="F1220" s="5">
        <v>6.8</v>
      </c>
      <c r="G1220" s="5">
        <v>41</v>
      </c>
    </row>
    <row r="1221" spans="1:7" ht="16.5">
      <c r="A1221" s="5" t="s">
        <v>5803</v>
      </c>
      <c r="B1221" s="10" t="s">
        <v>5798</v>
      </c>
      <c r="C1221" s="5" t="s">
        <v>1206</v>
      </c>
      <c r="D1221" s="5" t="s">
        <v>3297</v>
      </c>
      <c r="E1221" s="5" t="s">
        <v>3298</v>
      </c>
      <c r="F1221" s="5">
        <v>6.8</v>
      </c>
      <c r="G1221" s="5">
        <v>41</v>
      </c>
    </row>
    <row r="1222" spans="1:7" ht="16.5">
      <c r="A1222" s="5" t="s">
        <v>5804</v>
      </c>
      <c r="B1222" s="10" t="s">
        <v>5798</v>
      </c>
      <c r="C1222" s="5" t="s">
        <v>1207</v>
      </c>
      <c r="D1222" s="5" t="s">
        <v>3297</v>
      </c>
      <c r="E1222" s="5" t="s">
        <v>3298</v>
      </c>
      <c r="F1222" s="5">
        <v>6.8</v>
      </c>
      <c r="G1222" s="5">
        <v>41</v>
      </c>
    </row>
    <row r="1223" spans="1:7" ht="16.5">
      <c r="A1223" s="5" t="s">
        <v>5805</v>
      </c>
      <c r="B1223" s="10" t="s">
        <v>5798</v>
      </c>
      <c r="C1223" s="5" t="s">
        <v>1208</v>
      </c>
      <c r="D1223" s="5" t="s">
        <v>3297</v>
      </c>
      <c r="E1223" s="5" t="s">
        <v>3298</v>
      </c>
      <c r="F1223" s="5">
        <v>6.8</v>
      </c>
      <c r="G1223" s="5">
        <v>41</v>
      </c>
    </row>
    <row r="1224" spans="1:7" ht="16.5">
      <c r="A1224" s="5" t="s">
        <v>5806</v>
      </c>
      <c r="B1224" s="10" t="s">
        <v>5807</v>
      </c>
      <c r="C1224" s="5" t="s">
        <v>1209</v>
      </c>
      <c r="D1224" s="5" t="s">
        <v>3297</v>
      </c>
      <c r="E1224" s="5" t="s">
        <v>3298</v>
      </c>
      <c r="F1224" s="5">
        <v>6.8</v>
      </c>
      <c r="G1224" s="5">
        <v>41</v>
      </c>
    </row>
    <row r="1225" spans="1:7" ht="16.5">
      <c r="A1225" s="5" t="s">
        <v>5808</v>
      </c>
      <c r="B1225" s="10" t="s">
        <v>5807</v>
      </c>
      <c r="C1225" s="5" t="s">
        <v>1210</v>
      </c>
      <c r="D1225" s="5" t="s">
        <v>3297</v>
      </c>
      <c r="E1225" s="5" t="s">
        <v>3298</v>
      </c>
      <c r="F1225" s="5">
        <v>6.8</v>
      </c>
      <c r="G1225" s="5">
        <v>41</v>
      </c>
    </row>
    <row r="1226" spans="1:7" ht="16.5">
      <c r="A1226" s="5" t="s">
        <v>5809</v>
      </c>
      <c r="B1226" s="10" t="s">
        <v>5807</v>
      </c>
      <c r="C1226" s="5" t="s">
        <v>1211</v>
      </c>
      <c r="D1226" s="5" t="s">
        <v>3297</v>
      </c>
      <c r="E1226" s="5" t="s">
        <v>3298</v>
      </c>
      <c r="F1226" s="5">
        <v>6.8</v>
      </c>
      <c r="G1226" s="5">
        <v>41</v>
      </c>
    </row>
    <row r="1227" spans="1:7" ht="16.5">
      <c r="A1227" s="5" t="s">
        <v>5810</v>
      </c>
      <c r="B1227" s="10" t="s">
        <v>5807</v>
      </c>
      <c r="C1227" s="5" t="s">
        <v>1212</v>
      </c>
      <c r="D1227" s="5" t="s">
        <v>3297</v>
      </c>
      <c r="E1227" s="5" t="s">
        <v>3298</v>
      </c>
      <c r="F1227" s="5">
        <v>6.8</v>
      </c>
      <c r="G1227" s="5">
        <v>41</v>
      </c>
    </row>
    <row r="1228" spans="1:7" ht="16.5">
      <c r="A1228" s="5" t="s">
        <v>5811</v>
      </c>
      <c r="B1228" s="10" t="s">
        <v>5807</v>
      </c>
      <c r="C1228" s="5" t="s">
        <v>1213</v>
      </c>
      <c r="D1228" s="5" t="s">
        <v>3297</v>
      </c>
      <c r="E1228" s="5" t="s">
        <v>3298</v>
      </c>
      <c r="F1228" s="5">
        <v>6.8</v>
      </c>
      <c r="G1228" s="5">
        <v>41</v>
      </c>
    </row>
    <row r="1229" spans="1:7" ht="16.5">
      <c r="A1229" s="5" t="s">
        <v>5812</v>
      </c>
      <c r="B1229" s="10" t="s">
        <v>5813</v>
      </c>
      <c r="C1229" s="5" t="s">
        <v>5814</v>
      </c>
      <c r="D1229" s="5" t="s">
        <v>3297</v>
      </c>
      <c r="E1229" s="5" t="s">
        <v>3298</v>
      </c>
      <c r="F1229" s="5">
        <v>18</v>
      </c>
      <c r="G1229" s="5">
        <v>108</v>
      </c>
    </row>
    <row r="1230" spans="1:7" ht="16.5">
      <c r="A1230" s="5" t="s">
        <v>5815</v>
      </c>
      <c r="B1230" s="10" t="s">
        <v>5816</v>
      </c>
      <c r="C1230" s="5" t="s">
        <v>1214</v>
      </c>
      <c r="D1230" s="5" t="s">
        <v>3297</v>
      </c>
      <c r="E1230" s="5" t="s">
        <v>3298</v>
      </c>
      <c r="F1230" s="5">
        <v>15</v>
      </c>
      <c r="G1230" s="5">
        <v>90</v>
      </c>
    </row>
    <row r="1231" spans="1:7" ht="16.5">
      <c r="A1231" s="5" t="s">
        <v>5817</v>
      </c>
      <c r="B1231" s="10" t="s">
        <v>5818</v>
      </c>
      <c r="C1231" s="5" t="s">
        <v>1215</v>
      </c>
      <c r="D1231" s="5" t="s">
        <v>3297</v>
      </c>
      <c r="E1231" s="5" t="s">
        <v>3298</v>
      </c>
      <c r="F1231" s="5">
        <v>28</v>
      </c>
      <c r="G1231" s="5">
        <v>168</v>
      </c>
    </row>
    <row r="1232" spans="1:7" ht="16.5">
      <c r="A1232" s="5" t="s">
        <v>5819</v>
      </c>
      <c r="B1232" s="10" t="s">
        <v>5820</v>
      </c>
      <c r="C1232" s="5" t="s">
        <v>1216</v>
      </c>
      <c r="D1232" s="5" t="s">
        <v>3297</v>
      </c>
      <c r="E1232" s="5" t="s">
        <v>3298</v>
      </c>
      <c r="F1232" s="5">
        <v>13.8</v>
      </c>
      <c r="G1232" s="5">
        <v>83</v>
      </c>
    </row>
    <row r="1233" spans="1:7" ht="16.5">
      <c r="A1233" s="5" t="s">
        <v>5821</v>
      </c>
      <c r="B1233" s="10" t="s">
        <v>5822</v>
      </c>
      <c r="C1233" s="5" t="s">
        <v>1217</v>
      </c>
      <c r="D1233" s="5" t="s">
        <v>3297</v>
      </c>
      <c r="E1233" s="5" t="s">
        <v>3298</v>
      </c>
      <c r="F1233" s="5">
        <v>10</v>
      </c>
      <c r="G1233" s="5">
        <v>60</v>
      </c>
    </row>
    <row r="1234" spans="1:7" ht="16.5">
      <c r="A1234" s="5" t="s">
        <v>5823</v>
      </c>
      <c r="B1234" s="10" t="s">
        <v>5824</v>
      </c>
      <c r="C1234" s="5" t="s">
        <v>1218</v>
      </c>
      <c r="D1234" s="5" t="s">
        <v>3297</v>
      </c>
      <c r="E1234" s="5" t="s">
        <v>3298</v>
      </c>
      <c r="F1234" s="5">
        <v>10</v>
      </c>
      <c r="G1234" s="5">
        <v>60</v>
      </c>
    </row>
    <row r="1235" spans="1:7" ht="16.5">
      <c r="A1235" s="5" t="s">
        <v>5825</v>
      </c>
      <c r="B1235" s="10" t="s">
        <v>5826</v>
      </c>
      <c r="C1235" s="5" t="s">
        <v>1219</v>
      </c>
      <c r="D1235" s="5" t="s">
        <v>3297</v>
      </c>
      <c r="E1235" s="5" t="s">
        <v>3298</v>
      </c>
      <c r="F1235" s="5">
        <v>10</v>
      </c>
      <c r="G1235" s="5">
        <v>60</v>
      </c>
    </row>
    <row r="1236" spans="1:7" ht="16.5">
      <c r="A1236" s="5" t="s">
        <v>5827</v>
      </c>
      <c r="B1236" s="10" t="s">
        <v>5828</v>
      </c>
      <c r="C1236" s="5" t="s">
        <v>1220</v>
      </c>
      <c r="D1236" s="5" t="s">
        <v>3297</v>
      </c>
      <c r="E1236" s="5" t="s">
        <v>3298</v>
      </c>
      <c r="F1236" s="5">
        <v>10</v>
      </c>
      <c r="G1236" s="5">
        <v>60</v>
      </c>
    </row>
    <row r="1237" spans="1:7" ht="16.5">
      <c r="A1237" s="5" t="s">
        <v>5829</v>
      </c>
      <c r="B1237" s="10" t="s">
        <v>5830</v>
      </c>
      <c r="C1237" s="5" t="s">
        <v>1221</v>
      </c>
      <c r="D1237" s="5" t="s">
        <v>3297</v>
      </c>
      <c r="E1237" s="5" t="s">
        <v>3298</v>
      </c>
      <c r="F1237" s="5">
        <v>10</v>
      </c>
      <c r="G1237" s="5">
        <v>60</v>
      </c>
    </row>
    <row r="1238" spans="1:7" ht="16.5">
      <c r="A1238" s="5" t="s">
        <v>5831</v>
      </c>
      <c r="B1238" s="10" t="s">
        <v>5832</v>
      </c>
      <c r="C1238" s="5" t="s">
        <v>1222</v>
      </c>
      <c r="D1238" s="5" t="s">
        <v>3297</v>
      </c>
      <c r="E1238" s="5" t="s">
        <v>3298</v>
      </c>
      <c r="F1238" s="5">
        <v>10</v>
      </c>
      <c r="G1238" s="5">
        <v>60</v>
      </c>
    </row>
    <row r="1239" spans="1:7" ht="16.5">
      <c r="A1239" s="5" t="s">
        <v>5833</v>
      </c>
      <c r="B1239" s="10" t="s">
        <v>5834</v>
      </c>
      <c r="C1239" s="5" t="s">
        <v>1223</v>
      </c>
      <c r="D1239" s="5" t="s">
        <v>3297</v>
      </c>
      <c r="E1239" s="5" t="s">
        <v>3298</v>
      </c>
      <c r="F1239" s="5">
        <v>10</v>
      </c>
      <c r="G1239" s="5">
        <v>60</v>
      </c>
    </row>
    <row r="1240" spans="1:7" ht="16.5">
      <c r="A1240" s="5" t="s">
        <v>5835</v>
      </c>
      <c r="B1240" s="10" t="s">
        <v>5836</v>
      </c>
      <c r="C1240" s="5" t="s">
        <v>1224</v>
      </c>
      <c r="D1240" s="5" t="s">
        <v>3297</v>
      </c>
      <c r="E1240" s="5" t="s">
        <v>3298</v>
      </c>
      <c r="F1240" s="5">
        <v>10</v>
      </c>
      <c r="G1240" s="5">
        <v>60</v>
      </c>
    </row>
    <row r="1241" spans="1:7" ht="16.5">
      <c r="A1241" s="5" t="s">
        <v>5837</v>
      </c>
      <c r="B1241" s="10" t="s">
        <v>5838</v>
      </c>
      <c r="C1241" s="5" t="s">
        <v>1225</v>
      </c>
      <c r="D1241" s="5" t="s">
        <v>3297</v>
      </c>
      <c r="E1241" s="5" t="s">
        <v>3298</v>
      </c>
      <c r="F1241" s="5">
        <v>10</v>
      </c>
      <c r="G1241" s="5">
        <v>60</v>
      </c>
    </row>
    <row r="1242" spans="1:7" ht="16.5">
      <c r="A1242" s="5" t="s">
        <v>5839</v>
      </c>
      <c r="B1242" s="10" t="s">
        <v>5840</v>
      </c>
      <c r="C1242" s="5" t="s">
        <v>1226</v>
      </c>
      <c r="D1242" s="5" t="s">
        <v>3297</v>
      </c>
      <c r="E1242" s="5" t="s">
        <v>3298</v>
      </c>
      <c r="F1242" s="5">
        <v>28</v>
      </c>
      <c r="G1242" s="5">
        <v>168</v>
      </c>
    </row>
    <row r="1243" spans="1:7" ht="16.5">
      <c r="A1243" s="5" t="s">
        <v>5841</v>
      </c>
      <c r="B1243" s="10" t="s">
        <v>5842</v>
      </c>
      <c r="C1243" s="5" t="s">
        <v>1227</v>
      </c>
      <c r="D1243" s="5" t="s">
        <v>3297</v>
      </c>
      <c r="E1243" s="5" t="s">
        <v>3298</v>
      </c>
      <c r="F1243" s="5">
        <v>25.8</v>
      </c>
      <c r="G1243" s="5">
        <v>155</v>
      </c>
    </row>
    <row r="1244" spans="1:7" ht="16.5">
      <c r="A1244" s="5" t="s">
        <v>5843</v>
      </c>
      <c r="B1244" s="10" t="s">
        <v>5844</v>
      </c>
      <c r="C1244" s="5" t="s">
        <v>1228</v>
      </c>
      <c r="D1244" s="5" t="s">
        <v>3297</v>
      </c>
      <c r="E1244" s="5" t="s">
        <v>3298</v>
      </c>
      <c r="F1244" s="5">
        <v>25.8</v>
      </c>
      <c r="G1244" s="5">
        <v>155</v>
      </c>
    </row>
    <row r="1245" spans="1:7" ht="16.5">
      <c r="A1245" s="5" t="s">
        <v>5845</v>
      </c>
      <c r="B1245" s="10" t="s">
        <v>5846</v>
      </c>
      <c r="C1245" s="5" t="s">
        <v>1229</v>
      </c>
      <c r="D1245" s="5" t="s">
        <v>3297</v>
      </c>
      <c r="E1245" s="5" t="s">
        <v>3298</v>
      </c>
      <c r="F1245" s="5">
        <v>7.8</v>
      </c>
      <c r="G1245" s="5">
        <v>47</v>
      </c>
    </row>
    <row r="1246" spans="1:7" ht="16.5">
      <c r="A1246" s="5" t="s">
        <v>5847</v>
      </c>
      <c r="B1246" s="10" t="s">
        <v>5848</v>
      </c>
      <c r="C1246" s="5" t="s">
        <v>1230</v>
      </c>
      <c r="D1246" s="5" t="s">
        <v>3297</v>
      </c>
      <c r="E1246" s="5" t="s">
        <v>3298</v>
      </c>
      <c r="F1246" s="5">
        <v>7.8</v>
      </c>
      <c r="G1246" s="5">
        <v>47</v>
      </c>
    </row>
    <row r="1247" spans="1:7" ht="16.5">
      <c r="A1247" s="5" t="s">
        <v>5849</v>
      </c>
      <c r="B1247" s="10" t="s">
        <v>5850</v>
      </c>
      <c r="C1247" s="5" t="s">
        <v>1231</v>
      </c>
      <c r="D1247" s="5" t="s">
        <v>3297</v>
      </c>
      <c r="E1247" s="5" t="s">
        <v>3298</v>
      </c>
      <c r="F1247" s="5">
        <v>7.8</v>
      </c>
      <c r="G1247" s="5">
        <v>47</v>
      </c>
    </row>
    <row r="1248" spans="1:7" ht="16.5">
      <c r="A1248" s="5" t="s">
        <v>5851</v>
      </c>
      <c r="B1248" s="10" t="s">
        <v>5852</v>
      </c>
      <c r="C1248" s="5" t="s">
        <v>1232</v>
      </c>
      <c r="D1248" s="5" t="s">
        <v>3297</v>
      </c>
      <c r="E1248" s="5" t="s">
        <v>3298</v>
      </c>
      <c r="F1248" s="5">
        <v>7.8</v>
      </c>
      <c r="G1248" s="5">
        <v>47</v>
      </c>
    </row>
    <row r="1249" spans="1:7" ht="16.5">
      <c r="A1249" s="5" t="s">
        <v>5853</v>
      </c>
      <c r="B1249" s="10" t="s">
        <v>5854</v>
      </c>
      <c r="C1249" s="5" t="s">
        <v>1233</v>
      </c>
      <c r="D1249" s="5" t="s">
        <v>3297</v>
      </c>
      <c r="E1249" s="5" t="s">
        <v>3298</v>
      </c>
      <c r="F1249" s="5">
        <v>7.8</v>
      </c>
      <c r="G1249" s="5">
        <v>47</v>
      </c>
    </row>
    <row r="1250" spans="1:7" ht="16.5">
      <c r="A1250" s="5" t="s">
        <v>5855</v>
      </c>
      <c r="B1250" s="10" t="s">
        <v>5856</v>
      </c>
      <c r="C1250" s="5" t="s">
        <v>1234</v>
      </c>
      <c r="D1250" s="5" t="s">
        <v>3297</v>
      </c>
      <c r="E1250" s="5" t="s">
        <v>3298</v>
      </c>
      <c r="F1250" s="5">
        <v>7.8</v>
      </c>
      <c r="G1250" s="5">
        <v>47</v>
      </c>
    </row>
    <row r="1251" spans="1:7" ht="16.5">
      <c r="A1251" s="5" t="s">
        <v>5857</v>
      </c>
      <c r="B1251" s="10" t="s">
        <v>5858</v>
      </c>
      <c r="C1251" s="5" t="s">
        <v>1235</v>
      </c>
      <c r="D1251" s="5" t="s">
        <v>3297</v>
      </c>
      <c r="E1251" s="5" t="s">
        <v>3298</v>
      </c>
      <c r="F1251" s="5">
        <v>7.8</v>
      </c>
      <c r="G1251" s="5">
        <v>47</v>
      </c>
    </row>
    <row r="1252" spans="1:7" ht="16.5">
      <c r="A1252" s="5" t="s">
        <v>5859</v>
      </c>
      <c r="B1252" s="10" t="s">
        <v>5860</v>
      </c>
      <c r="C1252" s="5" t="s">
        <v>1236</v>
      </c>
      <c r="D1252" s="5" t="s">
        <v>3297</v>
      </c>
      <c r="E1252" s="5" t="s">
        <v>3298</v>
      </c>
      <c r="F1252" s="5">
        <v>7.8</v>
      </c>
      <c r="G1252" s="5">
        <v>47</v>
      </c>
    </row>
    <row r="1253" spans="1:7" ht="16.5">
      <c r="A1253" s="5" t="s">
        <v>5861</v>
      </c>
      <c r="B1253" s="10" t="s">
        <v>5862</v>
      </c>
      <c r="C1253" s="5" t="s">
        <v>1237</v>
      </c>
      <c r="D1253" s="5" t="s">
        <v>3297</v>
      </c>
      <c r="E1253" s="5" t="s">
        <v>3298</v>
      </c>
      <c r="F1253" s="5">
        <v>7.8</v>
      </c>
      <c r="G1253" s="5">
        <v>47</v>
      </c>
    </row>
    <row r="1254" spans="1:7" ht="16.5">
      <c r="A1254" s="5" t="s">
        <v>5863</v>
      </c>
      <c r="B1254" s="10" t="s">
        <v>5864</v>
      </c>
      <c r="C1254" s="5" t="s">
        <v>1238</v>
      </c>
      <c r="D1254" s="5" t="s">
        <v>3297</v>
      </c>
      <c r="E1254" s="5" t="s">
        <v>3298</v>
      </c>
      <c r="F1254" s="5">
        <v>7.8</v>
      </c>
      <c r="G1254" s="5">
        <v>47</v>
      </c>
    </row>
    <row r="1255" spans="1:7" ht="16.5">
      <c r="A1255" s="5" t="s">
        <v>5865</v>
      </c>
      <c r="B1255" s="10" t="s">
        <v>5866</v>
      </c>
      <c r="C1255" s="5" t="s">
        <v>1239</v>
      </c>
      <c r="D1255" s="5" t="s">
        <v>3297</v>
      </c>
      <c r="E1255" s="5" t="s">
        <v>3298</v>
      </c>
      <c r="F1255" s="5">
        <v>7.8</v>
      </c>
      <c r="G1255" s="5">
        <v>47</v>
      </c>
    </row>
    <row r="1256" spans="1:7" ht="16.5">
      <c r="A1256" s="5" t="s">
        <v>5867</v>
      </c>
      <c r="B1256" s="10" t="s">
        <v>5868</v>
      </c>
      <c r="C1256" s="5" t="s">
        <v>1240</v>
      </c>
      <c r="D1256" s="5" t="s">
        <v>3297</v>
      </c>
      <c r="E1256" s="5" t="s">
        <v>3298</v>
      </c>
      <c r="F1256" s="5">
        <v>7.8</v>
      </c>
      <c r="G1256" s="5">
        <v>47</v>
      </c>
    </row>
    <row r="1257" spans="1:7" ht="16.5">
      <c r="A1257" s="5" t="s">
        <v>5869</v>
      </c>
      <c r="B1257" s="10" t="s">
        <v>5870</v>
      </c>
      <c r="C1257" s="5" t="s">
        <v>1241</v>
      </c>
      <c r="D1257" s="5" t="s">
        <v>3297</v>
      </c>
      <c r="E1257" s="5" t="s">
        <v>3298</v>
      </c>
      <c r="F1257" s="5">
        <v>7.8</v>
      </c>
      <c r="G1257" s="5">
        <v>47</v>
      </c>
    </row>
    <row r="1258" spans="1:7" ht="16.5">
      <c r="A1258" s="5" t="s">
        <v>5871</v>
      </c>
      <c r="B1258" s="10" t="s">
        <v>5872</v>
      </c>
      <c r="C1258" s="5" t="s">
        <v>1242</v>
      </c>
      <c r="D1258" s="5" t="s">
        <v>3297</v>
      </c>
      <c r="E1258" s="5" t="s">
        <v>3298</v>
      </c>
      <c r="F1258" s="5">
        <v>7.8</v>
      </c>
      <c r="G1258" s="5">
        <v>47</v>
      </c>
    </row>
    <row r="1259" spans="1:7" ht="16.5">
      <c r="A1259" s="5" t="s">
        <v>5873</v>
      </c>
      <c r="B1259" s="10" t="s">
        <v>5874</v>
      </c>
      <c r="C1259" s="5" t="s">
        <v>1243</v>
      </c>
      <c r="D1259" s="5" t="s">
        <v>3297</v>
      </c>
      <c r="E1259" s="5" t="s">
        <v>3298</v>
      </c>
      <c r="F1259" s="5">
        <v>7.8</v>
      </c>
      <c r="G1259" s="5">
        <v>47</v>
      </c>
    </row>
    <row r="1260" spans="1:7" ht="16.5">
      <c r="A1260" s="5" t="s">
        <v>5875</v>
      </c>
      <c r="B1260" s="10" t="s">
        <v>5876</v>
      </c>
      <c r="C1260" s="5" t="s">
        <v>1244</v>
      </c>
      <c r="D1260" s="5" t="s">
        <v>3297</v>
      </c>
      <c r="E1260" s="5" t="s">
        <v>3298</v>
      </c>
      <c r="F1260" s="5">
        <v>7.8</v>
      </c>
      <c r="G1260" s="5">
        <v>47</v>
      </c>
    </row>
    <row r="1261" spans="1:7" ht="16.5">
      <c r="A1261" s="5" t="s">
        <v>5877</v>
      </c>
      <c r="B1261" s="10" t="s">
        <v>5878</v>
      </c>
      <c r="C1261" s="5" t="s">
        <v>1245</v>
      </c>
      <c r="D1261" s="5" t="s">
        <v>3297</v>
      </c>
      <c r="E1261" s="5" t="s">
        <v>3298</v>
      </c>
      <c r="F1261" s="5">
        <v>23</v>
      </c>
      <c r="G1261" s="5">
        <v>138</v>
      </c>
    </row>
    <row r="1262" spans="1:7" ht="16.5">
      <c r="A1262" s="5" t="s">
        <v>5879</v>
      </c>
      <c r="B1262" s="10" t="s">
        <v>5880</v>
      </c>
      <c r="C1262" s="5" t="s">
        <v>1246</v>
      </c>
      <c r="D1262" s="5" t="s">
        <v>3297</v>
      </c>
      <c r="E1262" s="5" t="s">
        <v>3298</v>
      </c>
      <c r="F1262" s="5">
        <v>19.8</v>
      </c>
      <c r="G1262" s="5">
        <v>119</v>
      </c>
    </row>
    <row r="1263" spans="1:7" ht="16.5">
      <c r="A1263" s="5" t="s">
        <v>5881</v>
      </c>
      <c r="B1263" s="10" t="s">
        <v>5882</v>
      </c>
      <c r="C1263" s="5" t="s">
        <v>1247</v>
      </c>
      <c r="D1263" s="5" t="s">
        <v>3297</v>
      </c>
      <c r="E1263" s="5" t="s">
        <v>3298</v>
      </c>
      <c r="F1263" s="5">
        <v>25</v>
      </c>
      <c r="G1263" s="5">
        <v>150</v>
      </c>
    </row>
    <row r="1264" spans="1:7" ht="16.5">
      <c r="A1264" s="5" t="s">
        <v>5883</v>
      </c>
      <c r="B1264" s="10" t="s">
        <v>5884</v>
      </c>
      <c r="C1264" s="5" t="s">
        <v>1248</v>
      </c>
      <c r="D1264" s="5" t="s">
        <v>3297</v>
      </c>
      <c r="E1264" s="5" t="s">
        <v>3298</v>
      </c>
      <c r="F1264" s="5">
        <v>19.8</v>
      </c>
      <c r="G1264" s="5">
        <v>119</v>
      </c>
    </row>
    <row r="1265" spans="1:7" ht="16.5">
      <c r="A1265" s="5" t="s">
        <v>5885</v>
      </c>
      <c r="B1265" s="10" t="s">
        <v>5886</v>
      </c>
      <c r="C1265" s="5" t="s">
        <v>1249</v>
      </c>
      <c r="D1265" s="5" t="s">
        <v>3297</v>
      </c>
      <c r="E1265" s="5" t="s">
        <v>3298</v>
      </c>
      <c r="F1265" s="5">
        <v>8</v>
      </c>
      <c r="G1265" s="5">
        <v>48</v>
      </c>
    </row>
    <row r="1266" spans="1:7" ht="16.5">
      <c r="A1266" s="5" t="s">
        <v>5887</v>
      </c>
      <c r="B1266" s="10" t="s">
        <v>5888</v>
      </c>
      <c r="C1266" s="5" t="s">
        <v>1250</v>
      </c>
      <c r="D1266" s="5" t="s">
        <v>3297</v>
      </c>
      <c r="E1266" s="5" t="s">
        <v>3298</v>
      </c>
      <c r="F1266" s="5">
        <v>6.8</v>
      </c>
      <c r="G1266" s="5">
        <v>41</v>
      </c>
    </row>
    <row r="1267" spans="1:7" ht="16.5">
      <c r="A1267" s="5" t="s">
        <v>5889</v>
      </c>
      <c r="B1267" s="10" t="s">
        <v>5890</v>
      </c>
      <c r="C1267" s="5" t="s">
        <v>1251</v>
      </c>
      <c r="D1267" s="5" t="s">
        <v>3297</v>
      </c>
      <c r="E1267" s="5" t="s">
        <v>3298</v>
      </c>
      <c r="F1267" s="5">
        <v>8.8</v>
      </c>
      <c r="G1267" s="5">
        <v>53</v>
      </c>
    </row>
    <row r="1268" spans="1:7" ht="16.5">
      <c r="A1268" s="5" t="s">
        <v>5891</v>
      </c>
      <c r="B1268" s="10" t="s">
        <v>5892</v>
      </c>
      <c r="C1268" s="5" t="s">
        <v>1252</v>
      </c>
      <c r="D1268" s="5" t="s">
        <v>3297</v>
      </c>
      <c r="E1268" s="5" t="s">
        <v>3298</v>
      </c>
      <c r="F1268" s="5">
        <v>13.8</v>
      </c>
      <c r="G1268" s="5">
        <v>83</v>
      </c>
    </row>
    <row r="1269" spans="1:7" ht="16.5">
      <c r="A1269" s="5" t="s">
        <v>5893</v>
      </c>
      <c r="B1269" s="10" t="s">
        <v>5894</v>
      </c>
      <c r="C1269" s="5" t="s">
        <v>1253</v>
      </c>
      <c r="D1269" s="5" t="s">
        <v>3297</v>
      </c>
      <c r="E1269" s="5" t="s">
        <v>3298</v>
      </c>
      <c r="F1269" s="5">
        <v>13.8</v>
      </c>
      <c r="G1269" s="5">
        <v>83</v>
      </c>
    </row>
    <row r="1270" spans="1:7" ht="16.5">
      <c r="A1270" s="5" t="s">
        <v>5895</v>
      </c>
      <c r="B1270" s="10" t="s">
        <v>5896</v>
      </c>
      <c r="C1270" s="5" t="s">
        <v>1254</v>
      </c>
      <c r="D1270" s="5" t="s">
        <v>3297</v>
      </c>
      <c r="E1270" s="5" t="s">
        <v>3298</v>
      </c>
      <c r="F1270" s="5">
        <v>13.8</v>
      </c>
      <c r="G1270" s="5">
        <v>83</v>
      </c>
    </row>
    <row r="1271" spans="1:7" ht="16.5">
      <c r="A1271" s="5" t="s">
        <v>5897</v>
      </c>
      <c r="B1271" s="10" t="s">
        <v>5898</v>
      </c>
      <c r="C1271" s="5" t="s">
        <v>1255</v>
      </c>
      <c r="D1271" s="5" t="s">
        <v>3297</v>
      </c>
      <c r="E1271" s="5" t="s">
        <v>3298</v>
      </c>
      <c r="F1271" s="5">
        <v>13.8</v>
      </c>
      <c r="G1271" s="5">
        <v>83</v>
      </c>
    </row>
    <row r="1272" spans="1:7" ht="16.5">
      <c r="A1272" s="5" t="s">
        <v>5899</v>
      </c>
      <c r="B1272" s="10" t="s">
        <v>5900</v>
      </c>
      <c r="C1272" s="5" t="s">
        <v>1256</v>
      </c>
      <c r="D1272" s="5" t="s">
        <v>3297</v>
      </c>
      <c r="E1272" s="5" t="s">
        <v>3298</v>
      </c>
      <c r="F1272" s="5">
        <v>13.8</v>
      </c>
      <c r="G1272" s="5">
        <v>83</v>
      </c>
    </row>
    <row r="1273" spans="1:7" ht="16.5">
      <c r="A1273" s="5" t="s">
        <v>5901</v>
      </c>
      <c r="B1273" s="10" t="s">
        <v>5902</v>
      </c>
      <c r="C1273" s="5" t="s">
        <v>1257</v>
      </c>
      <c r="D1273" s="5" t="s">
        <v>3297</v>
      </c>
      <c r="E1273" s="5" t="s">
        <v>3298</v>
      </c>
      <c r="F1273" s="5">
        <v>28</v>
      </c>
      <c r="G1273" s="5">
        <v>168</v>
      </c>
    </row>
    <row r="1274" spans="1:7" ht="16.5">
      <c r="A1274" s="5" t="s">
        <v>5903</v>
      </c>
      <c r="B1274" s="10" t="s">
        <v>5904</v>
      </c>
      <c r="C1274" s="5" t="s">
        <v>1258</v>
      </c>
      <c r="D1274" s="5" t="s">
        <v>3297</v>
      </c>
      <c r="E1274" s="5" t="s">
        <v>3298</v>
      </c>
      <c r="F1274" s="5">
        <v>8</v>
      </c>
      <c r="G1274" s="5">
        <v>48</v>
      </c>
    </row>
    <row r="1275" spans="1:7" ht="16.5">
      <c r="A1275" s="5" t="s">
        <v>5905</v>
      </c>
      <c r="B1275" s="10" t="s">
        <v>5906</v>
      </c>
      <c r="C1275" s="5" t="s">
        <v>1259</v>
      </c>
      <c r="D1275" s="5" t="s">
        <v>3297</v>
      </c>
      <c r="E1275" s="5" t="s">
        <v>3298</v>
      </c>
      <c r="F1275" s="5">
        <v>8</v>
      </c>
      <c r="G1275" s="5">
        <v>48</v>
      </c>
    </row>
    <row r="1276" spans="1:7" ht="16.5">
      <c r="A1276" s="5" t="s">
        <v>5907</v>
      </c>
      <c r="B1276" s="10" t="s">
        <v>5908</v>
      </c>
      <c r="C1276" s="5" t="s">
        <v>1260</v>
      </c>
      <c r="D1276" s="5" t="s">
        <v>3297</v>
      </c>
      <c r="E1276" s="5" t="s">
        <v>3298</v>
      </c>
      <c r="F1276" s="5">
        <v>7.8</v>
      </c>
      <c r="G1276" s="5">
        <v>47</v>
      </c>
    </row>
    <row r="1277" spans="1:7" ht="16.5">
      <c r="A1277" s="5" t="s">
        <v>5909</v>
      </c>
      <c r="B1277" s="10" t="s">
        <v>5910</v>
      </c>
      <c r="C1277" s="5" t="s">
        <v>1261</v>
      </c>
      <c r="D1277" s="5" t="s">
        <v>3297</v>
      </c>
      <c r="E1277" s="5" t="s">
        <v>3298</v>
      </c>
      <c r="F1277" s="5">
        <v>7.8</v>
      </c>
      <c r="G1277" s="5">
        <v>47</v>
      </c>
    </row>
    <row r="1278" spans="1:7" ht="16.5">
      <c r="A1278" s="5" t="s">
        <v>5911</v>
      </c>
      <c r="B1278" s="10" t="s">
        <v>5912</v>
      </c>
      <c r="C1278" s="5" t="s">
        <v>1262</v>
      </c>
      <c r="D1278" s="5" t="s">
        <v>3297</v>
      </c>
      <c r="E1278" s="5" t="s">
        <v>3298</v>
      </c>
      <c r="F1278" s="5">
        <v>7.8</v>
      </c>
      <c r="G1278" s="5">
        <v>47</v>
      </c>
    </row>
    <row r="1279" spans="1:7" ht="16.5">
      <c r="A1279" s="5" t="s">
        <v>5913</v>
      </c>
      <c r="B1279" s="10" t="s">
        <v>5914</v>
      </c>
      <c r="C1279" s="5" t="s">
        <v>1263</v>
      </c>
      <c r="D1279" s="5" t="s">
        <v>3297</v>
      </c>
      <c r="E1279" s="5" t="s">
        <v>3298</v>
      </c>
      <c r="F1279" s="5">
        <v>7.8</v>
      </c>
      <c r="G1279" s="5">
        <v>47</v>
      </c>
    </row>
    <row r="1280" spans="1:7" ht="16.5">
      <c r="A1280" s="5" t="s">
        <v>5915</v>
      </c>
      <c r="B1280" s="10" t="s">
        <v>5916</v>
      </c>
      <c r="C1280" s="5" t="s">
        <v>1264</v>
      </c>
      <c r="D1280" s="5" t="s">
        <v>3297</v>
      </c>
      <c r="E1280" s="5" t="s">
        <v>3298</v>
      </c>
      <c r="F1280" s="5">
        <v>7.8</v>
      </c>
      <c r="G1280" s="5">
        <v>47</v>
      </c>
    </row>
    <row r="1281" spans="1:7" ht="16.5">
      <c r="A1281" s="5" t="s">
        <v>5917</v>
      </c>
      <c r="B1281" s="10" t="s">
        <v>5918</v>
      </c>
      <c r="C1281" s="5" t="s">
        <v>1265</v>
      </c>
      <c r="D1281" s="5" t="s">
        <v>3297</v>
      </c>
      <c r="E1281" s="5" t="s">
        <v>3298</v>
      </c>
      <c r="F1281" s="5">
        <v>7.8</v>
      </c>
      <c r="G1281" s="5">
        <v>47</v>
      </c>
    </row>
    <row r="1282" spans="1:7" ht="16.5">
      <c r="A1282" s="5" t="s">
        <v>5919</v>
      </c>
      <c r="B1282" s="10" t="s">
        <v>5920</v>
      </c>
      <c r="C1282" s="5" t="s">
        <v>1266</v>
      </c>
      <c r="D1282" s="5" t="s">
        <v>3297</v>
      </c>
      <c r="E1282" s="5" t="s">
        <v>3298</v>
      </c>
      <c r="F1282" s="5">
        <v>7.8</v>
      </c>
      <c r="G1282" s="5">
        <v>47</v>
      </c>
    </row>
    <row r="1283" spans="1:7" ht="16.5">
      <c r="A1283" s="5" t="s">
        <v>5921</v>
      </c>
      <c r="B1283" s="10" t="s">
        <v>5922</v>
      </c>
      <c r="C1283" s="5" t="s">
        <v>1267</v>
      </c>
      <c r="D1283" s="5" t="s">
        <v>3297</v>
      </c>
      <c r="E1283" s="5" t="s">
        <v>3298</v>
      </c>
      <c r="F1283" s="5">
        <v>7.8</v>
      </c>
      <c r="G1283" s="5">
        <v>47</v>
      </c>
    </row>
    <row r="1284" spans="1:7" ht="16.5">
      <c r="A1284" s="5" t="s">
        <v>5923</v>
      </c>
      <c r="B1284" s="10" t="s">
        <v>5924</v>
      </c>
      <c r="C1284" s="5" t="s">
        <v>1268</v>
      </c>
      <c r="D1284" s="5" t="s">
        <v>3297</v>
      </c>
      <c r="E1284" s="5" t="s">
        <v>3298</v>
      </c>
      <c r="F1284" s="5">
        <v>7.8</v>
      </c>
      <c r="G1284" s="5">
        <v>47</v>
      </c>
    </row>
    <row r="1285" spans="1:7" ht="16.5">
      <c r="A1285" s="5" t="s">
        <v>5925</v>
      </c>
      <c r="B1285" s="10" t="s">
        <v>5926</v>
      </c>
      <c r="C1285" s="5" t="s">
        <v>1269</v>
      </c>
      <c r="D1285" s="5" t="s">
        <v>3297</v>
      </c>
      <c r="E1285" s="5" t="s">
        <v>3298</v>
      </c>
      <c r="F1285" s="5">
        <v>7.8</v>
      </c>
      <c r="G1285" s="5">
        <v>47</v>
      </c>
    </row>
    <row r="1286" spans="1:7" ht="16.5">
      <c r="A1286" s="5" t="s">
        <v>5927</v>
      </c>
      <c r="B1286" s="10" t="s">
        <v>5928</v>
      </c>
      <c r="C1286" s="5" t="s">
        <v>1270</v>
      </c>
      <c r="D1286" s="5" t="s">
        <v>3297</v>
      </c>
      <c r="E1286" s="5" t="s">
        <v>3298</v>
      </c>
      <c r="F1286" s="5">
        <v>7.8</v>
      </c>
      <c r="G1286" s="5">
        <v>47</v>
      </c>
    </row>
    <row r="1287" spans="1:7" ht="16.5">
      <c r="A1287" s="5" t="s">
        <v>5929</v>
      </c>
      <c r="B1287" s="10" t="s">
        <v>5930</v>
      </c>
      <c r="C1287" s="5" t="s">
        <v>1271</v>
      </c>
      <c r="D1287" s="5" t="s">
        <v>3297</v>
      </c>
      <c r="E1287" s="5" t="s">
        <v>3298</v>
      </c>
      <c r="F1287" s="5">
        <v>7.8</v>
      </c>
      <c r="G1287" s="5">
        <v>47</v>
      </c>
    </row>
    <row r="1288" spans="1:7" ht="16.5">
      <c r="A1288" s="5" t="s">
        <v>5931</v>
      </c>
      <c r="B1288" s="10" t="s">
        <v>5932</v>
      </c>
      <c r="C1288" s="5" t="s">
        <v>1272</v>
      </c>
      <c r="D1288" s="5" t="s">
        <v>3297</v>
      </c>
      <c r="E1288" s="5" t="s">
        <v>3298</v>
      </c>
      <c r="F1288" s="5">
        <v>7.8</v>
      </c>
      <c r="G1288" s="5">
        <v>47</v>
      </c>
    </row>
    <row r="1289" spans="1:7" ht="16.5">
      <c r="A1289" s="5" t="s">
        <v>5933</v>
      </c>
      <c r="B1289" s="10" t="s">
        <v>5934</v>
      </c>
      <c r="C1289" s="5" t="s">
        <v>1273</v>
      </c>
      <c r="D1289" s="5" t="s">
        <v>3297</v>
      </c>
      <c r="E1289" s="5" t="s">
        <v>3298</v>
      </c>
      <c r="F1289" s="5">
        <v>7.8</v>
      </c>
      <c r="G1289" s="5">
        <v>47</v>
      </c>
    </row>
    <row r="1290" spans="1:7" ht="16.5">
      <c r="A1290" s="5" t="s">
        <v>5935</v>
      </c>
      <c r="B1290" s="10" t="s">
        <v>5936</v>
      </c>
      <c r="C1290" s="5" t="s">
        <v>1274</v>
      </c>
      <c r="D1290" s="5" t="s">
        <v>3297</v>
      </c>
      <c r="E1290" s="5" t="s">
        <v>3298</v>
      </c>
      <c r="F1290" s="5">
        <v>7.8</v>
      </c>
      <c r="G1290" s="5">
        <v>47</v>
      </c>
    </row>
    <row r="1291" spans="1:7" ht="16.5">
      <c r="A1291" s="5" t="s">
        <v>5937</v>
      </c>
      <c r="B1291" s="10" t="s">
        <v>5938</v>
      </c>
      <c r="C1291" s="5" t="s">
        <v>1275</v>
      </c>
      <c r="D1291" s="5" t="s">
        <v>3297</v>
      </c>
      <c r="E1291" s="5" t="s">
        <v>3298</v>
      </c>
      <c r="F1291" s="5">
        <v>7.8</v>
      </c>
      <c r="G1291" s="5">
        <v>47</v>
      </c>
    </row>
    <row r="1292" spans="1:7" ht="16.5">
      <c r="A1292" s="5" t="s">
        <v>5939</v>
      </c>
      <c r="B1292" s="10" t="s">
        <v>5940</v>
      </c>
      <c r="C1292" s="5" t="s">
        <v>1276</v>
      </c>
      <c r="D1292" s="5" t="s">
        <v>3297</v>
      </c>
      <c r="E1292" s="5" t="s">
        <v>3298</v>
      </c>
      <c r="F1292" s="5">
        <v>7.8</v>
      </c>
      <c r="G1292" s="5">
        <v>47</v>
      </c>
    </row>
    <row r="1293" spans="1:7" ht="16.5">
      <c r="A1293" s="5" t="s">
        <v>5941</v>
      </c>
      <c r="B1293" s="10" t="s">
        <v>5942</v>
      </c>
      <c r="C1293" s="5" t="s">
        <v>1277</v>
      </c>
      <c r="D1293" s="5" t="s">
        <v>2236</v>
      </c>
      <c r="E1293" s="5" t="s">
        <v>3298</v>
      </c>
      <c r="F1293" s="5">
        <v>7.8</v>
      </c>
      <c r="G1293" s="5">
        <v>47</v>
      </c>
    </row>
    <row r="1294" spans="1:7" ht="16.5">
      <c r="A1294" s="5" t="s">
        <v>5943</v>
      </c>
      <c r="B1294" s="10" t="s">
        <v>5944</v>
      </c>
      <c r="C1294" s="5" t="s">
        <v>1278</v>
      </c>
      <c r="D1294" s="5" t="s">
        <v>3297</v>
      </c>
      <c r="E1294" s="5" t="s">
        <v>3298</v>
      </c>
      <c r="F1294" s="5">
        <v>12</v>
      </c>
      <c r="G1294" s="5">
        <v>72</v>
      </c>
    </row>
    <row r="1295" spans="1:7" ht="16.5">
      <c r="A1295" s="5" t="s">
        <v>5945</v>
      </c>
      <c r="B1295" s="10" t="s">
        <v>5946</v>
      </c>
      <c r="C1295" s="5" t="s">
        <v>1279</v>
      </c>
      <c r="D1295" s="5" t="s">
        <v>3297</v>
      </c>
      <c r="E1295" s="5" t="s">
        <v>3298</v>
      </c>
      <c r="F1295" s="5">
        <v>7.5</v>
      </c>
      <c r="G1295" s="5">
        <v>45</v>
      </c>
    </row>
    <row r="1296" spans="1:7" ht="16.5">
      <c r="A1296" s="5" t="s">
        <v>5947</v>
      </c>
      <c r="B1296" s="10" t="s">
        <v>5948</v>
      </c>
      <c r="C1296" s="5" t="s">
        <v>1280</v>
      </c>
      <c r="D1296" s="5" t="s">
        <v>3297</v>
      </c>
      <c r="E1296" s="5" t="s">
        <v>3298</v>
      </c>
      <c r="F1296" s="5">
        <v>6.8</v>
      </c>
      <c r="G1296" s="5">
        <v>41</v>
      </c>
    </row>
    <row r="1297" spans="1:7" ht="16.5">
      <c r="A1297" s="5" t="s">
        <v>5949</v>
      </c>
      <c r="B1297" s="10" t="s">
        <v>5950</v>
      </c>
      <c r="C1297" s="5" t="s">
        <v>1281</v>
      </c>
      <c r="D1297" s="5" t="s">
        <v>3297</v>
      </c>
      <c r="E1297" s="5" t="s">
        <v>3298</v>
      </c>
      <c r="F1297" s="5">
        <v>8.8</v>
      </c>
      <c r="G1297" s="5">
        <v>53</v>
      </c>
    </row>
    <row r="1298" spans="1:7" ht="16.5">
      <c r="A1298" s="5" t="s">
        <v>5951</v>
      </c>
      <c r="B1298" s="10" t="s">
        <v>5952</v>
      </c>
      <c r="C1298" s="5" t="s">
        <v>1282</v>
      </c>
      <c r="D1298" s="5" t="s">
        <v>3297</v>
      </c>
      <c r="E1298" s="5" t="s">
        <v>3298</v>
      </c>
      <c r="F1298" s="5">
        <v>8</v>
      </c>
      <c r="G1298" s="5">
        <v>48</v>
      </c>
    </row>
    <row r="1299" spans="1:7" ht="16.5">
      <c r="A1299" s="5" t="s">
        <v>5953</v>
      </c>
      <c r="B1299" s="10" t="s">
        <v>5954</v>
      </c>
      <c r="C1299" s="5" t="s">
        <v>1283</v>
      </c>
      <c r="D1299" s="5" t="s">
        <v>3297</v>
      </c>
      <c r="E1299" s="5" t="s">
        <v>3298</v>
      </c>
      <c r="F1299" s="5">
        <v>7.5</v>
      </c>
      <c r="G1299" s="5">
        <v>45</v>
      </c>
    </row>
    <row r="1300" spans="1:7" ht="16.5">
      <c r="A1300" s="5" t="s">
        <v>5955</v>
      </c>
      <c r="B1300" s="10" t="s">
        <v>5956</v>
      </c>
      <c r="C1300" s="5" t="s">
        <v>1284</v>
      </c>
      <c r="D1300" s="5" t="s">
        <v>3297</v>
      </c>
      <c r="E1300" s="5" t="s">
        <v>3298</v>
      </c>
      <c r="F1300" s="5">
        <v>8.8</v>
      </c>
      <c r="G1300" s="5">
        <v>53</v>
      </c>
    </row>
    <row r="1301" spans="1:7" ht="16.5">
      <c r="A1301" s="5" t="s">
        <v>5957</v>
      </c>
      <c r="B1301" s="10" t="s">
        <v>5958</v>
      </c>
      <c r="C1301" s="5" t="s">
        <v>1285</v>
      </c>
      <c r="D1301" s="5" t="s">
        <v>3297</v>
      </c>
      <c r="E1301" s="5" t="s">
        <v>3298</v>
      </c>
      <c r="F1301" s="5">
        <v>12</v>
      </c>
      <c r="G1301" s="5">
        <v>72</v>
      </c>
    </row>
    <row r="1302" spans="1:7" ht="16.5">
      <c r="A1302" s="5" t="s">
        <v>5959</v>
      </c>
      <c r="B1302" s="10" t="s">
        <v>5960</v>
      </c>
      <c r="C1302" s="5" t="s">
        <v>1286</v>
      </c>
      <c r="D1302" s="5" t="s">
        <v>3297</v>
      </c>
      <c r="E1302" s="5" t="s">
        <v>3298</v>
      </c>
      <c r="F1302" s="5">
        <v>12</v>
      </c>
      <c r="G1302" s="5">
        <v>72</v>
      </c>
    </row>
    <row r="1303" spans="1:7" ht="16.5">
      <c r="A1303" s="5" t="s">
        <v>5961</v>
      </c>
      <c r="B1303" s="10" t="s">
        <v>5962</v>
      </c>
      <c r="C1303" s="5" t="s">
        <v>1287</v>
      </c>
      <c r="D1303" s="5" t="s">
        <v>3297</v>
      </c>
      <c r="E1303" s="5" t="s">
        <v>3298</v>
      </c>
      <c r="F1303" s="5">
        <v>19.8</v>
      </c>
      <c r="G1303" s="5">
        <v>119</v>
      </c>
    </row>
    <row r="1304" spans="1:7" ht="16.5">
      <c r="A1304" s="5" t="s">
        <v>5963</v>
      </c>
      <c r="B1304" s="10" t="s">
        <v>5964</v>
      </c>
      <c r="C1304" s="5" t="s">
        <v>1288</v>
      </c>
      <c r="D1304" s="5" t="s">
        <v>3297</v>
      </c>
      <c r="E1304" s="5" t="s">
        <v>3298</v>
      </c>
      <c r="F1304" s="5">
        <v>26</v>
      </c>
      <c r="G1304" s="5">
        <v>156</v>
      </c>
    </row>
    <row r="1305" spans="1:7" ht="16.5">
      <c r="A1305" s="5" t="s">
        <v>5965</v>
      </c>
      <c r="B1305" s="10" t="s">
        <v>5966</v>
      </c>
      <c r="C1305" s="5" t="s">
        <v>1289</v>
      </c>
      <c r="D1305" s="5" t="s">
        <v>3297</v>
      </c>
      <c r="E1305" s="5" t="s">
        <v>3298</v>
      </c>
      <c r="F1305" s="5">
        <v>26</v>
      </c>
      <c r="G1305" s="5">
        <v>156</v>
      </c>
    </row>
    <row r="1306" spans="1:7" ht="16.5">
      <c r="A1306" s="5" t="s">
        <v>5967</v>
      </c>
      <c r="B1306" s="10" t="s">
        <v>5968</v>
      </c>
      <c r="C1306" s="5" t="s">
        <v>1290</v>
      </c>
      <c r="D1306" s="5" t="s">
        <v>3297</v>
      </c>
      <c r="E1306" s="5" t="s">
        <v>3298</v>
      </c>
      <c r="F1306" s="5">
        <v>16</v>
      </c>
      <c r="G1306" s="5">
        <v>96</v>
      </c>
    </row>
    <row r="1307" spans="1:7" ht="16.5">
      <c r="A1307" s="5" t="s">
        <v>5969</v>
      </c>
      <c r="B1307" s="10" t="s">
        <v>5970</v>
      </c>
      <c r="C1307" s="5" t="s">
        <v>1291</v>
      </c>
      <c r="D1307" s="5" t="s">
        <v>3297</v>
      </c>
      <c r="E1307" s="5" t="s">
        <v>3298</v>
      </c>
      <c r="F1307" s="5">
        <v>16</v>
      </c>
      <c r="G1307" s="5">
        <v>96</v>
      </c>
    </row>
    <row r="1308" spans="1:7" ht="16.5">
      <c r="A1308" s="5" t="s">
        <v>5971</v>
      </c>
      <c r="B1308" s="10" t="s">
        <v>5972</v>
      </c>
      <c r="C1308" s="5" t="s">
        <v>1292</v>
      </c>
      <c r="D1308" s="5" t="s">
        <v>3297</v>
      </c>
      <c r="E1308" s="5" t="s">
        <v>3298</v>
      </c>
      <c r="F1308" s="5">
        <v>18</v>
      </c>
      <c r="G1308" s="5">
        <v>108</v>
      </c>
    </row>
    <row r="1309" spans="1:7" ht="16.5">
      <c r="A1309" s="5" t="s">
        <v>5973</v>
      </c>
      <c r="B1309" s="10" t="s">
        <v>5974</v>
      </c>
      <c r="C1309" s="5" t="s">
        <v>1293</v>
      </c>
      <c r="D1309" s="5" t="s">
        <v>3297</v>
      </c>
      <c r="E1309" s="5" t="s">
        <v>3298</v>
      </c>
      <c r="F1309" s="5">
        <v>18</v>
      </c>
      <c r="G1309" s="5">
        <v>108</v>
      </c>
    </row>
    <row r="1310" spans="1:7" ht="16.5">
      <c r="A1310" s="5" t="s">
        <v>5975</v>
      </c>
      <c r="B1310" s="10" t="s">
        <v>5976</v>
      </c>
      <c r="C1310" s="5" t="s">
        <v>1294</v>
      </c>
      <c r="D1310" s="5" t="s">
        <v>3297</v>
      </c>
      <c r="E1310" s="5" t="s">
        <v>3298</v>
      </c>
      <c r="F1310" s="5">
        <v>28</v>
      </c>
      <c r="G1310" s="5">
        <v>168</v>
      </c>
    </row>
    <row r="1311" spans="1:7" ht="16.5">
      <c r="A1311" s="5" t="s">
        <v>5977</v>
      </c>
      <c r="B1311" s="10" t="s">
        <v>5978</v>
      </c>
      <c r="C1311" s="5" t="s">
        <v>1295</v>
      </c>
      <c r="D1311" s="5" t="s">
        <v>3297</v>
      </c>
      <c r="E1311" s="5" t="s">
        <v>3298</v>
      </c>
      <c r="F1311" s="5">
        <v>23</v>
      </c>
      <c r="G1311" s="5">
        <v>138</v>
      </c>
    </row>
    <row r="1312" spans="1:7" ht="16.5">
      <c r="A1312" s="5" t="s">
        <v>5979</v>
      </c>
      <c r="B1312" s="10" t="s">
        <v>5980</v>
      </c>
      <c r="C1312" s="5" t="s">
        <v>1296</v>
      </c>
      <c r="D1312" s="5" t="s">
        <v>3297</v>
      </c>
      <c r="E1312" s="5" t="s">
        <v>3298</v>
      </c>
      <c r="F1312" s="5">
        <v>32</v>
      </c>
      <c r="G1312" s="5">
        <v>192</v>
      </c>
    </row>
    <row r="1313" spans="1:7" ht="16.5">
      <c r="A1313" s="5" t="s">
        <v>5981</v>
      </c>
      <c r="B1313" s="10" t="s">
        <v>5982</v>
      </c>
      <c r="C1313" s="5" t="s">
        <v>1297</v>
      </c>
      <c r="D1313" s="5" t="s">
        <v>2236</v>
      </c>
      <c r="E1313" s="5" t="s">
        <v>3298</v>
      </c>
      <c r="F1313" s="5">
        <v>8</v>
      </c>
      <c r="G1313" s="5">
        <v>48</v>
      </c>
    </row>
    <row r="1314" spans="1:7" ht="16.5">
      <c r="A1314" s="5" t="s">
        <v>5983</v>
      </c>
      <c r="B1314" s="10" t="s">
        <v>5984</v>
      </c>
      <c r="C1314" s="5" t="s">
        <v>1298</v>
      </c>
      <c r="D1314" s="5" t="s">
        <v>2236</v>
      </c>
      <c r="E1314" s="5" t="s">
        <v>3298</v>
      </c>
      <c r="F1314" s="5">
        <v>8</v>
      </c>
      <c r="G1314" s="5">
        <v>48</v>
      </c>
    </row>
    <row r="1315" spans="1:7" ht="16.5">
      <c r="A1315" s="5" t="s">
        <v>5985</v>
      </c>
      <c r="B1315" s="10" t="s">
        <v>5986</v>
      </c>
      <c r="C1315" s="5" t="s">
        <v>1299</v>
      </c>
      <c r="D1315" s="5" t="s">
        <v>2236</v>
      </c>
      <c r="E1315" s="5" t="s">
        <v>3298</v>
      </c>
      <c r="F1315" s="5">
        <v>8</v>
      </c>
      <c r="G1315" s="5">
        <v>48</v>
      </c>
    </row>
    <row r="1316" spans="1:7" ht="16.5">
      <c r="A1316" s="5" t="s">
        <v>5987</v>
      </c>
      <c r="B1316" s="10" t="s">
        <v>5988</v>
      </c>
      <c r="C1316" s="5" t="s">
        <v>1300</v>
      </c>
      <c r="D1316" s="5" t="s">
        <v>2236</v>
      </c>
      <c r="E1316" s="5" t="s">
        <v>3298</v>
      </c>
      <c r="F1316" s="5">
        <v>8</v>
      </c>
      <c r="G1316" s="5">
        <v>48</v>
      </c>
    </row>
    <row r="1317" spans="1:7" ht="16.5">
      <c r="A1317" s="5" t="s">
        <v>5989</v>
      </c>
      <c r="B1317" s="10" t="s">
        <v>5990</v>
      </c>
      <c r="C1317" s="5" t="s">
        <v>1301</v>
      </c>
      <c r="D1317" s="5" t="s">
        <v>2236</v>
      </c>
      <c r="E1317" s="5" t="s">
        <v>3298</v>
      </c>
      <c r="F1317" s="5">
        <v>8</v>
      </c>
      <c r="G1317" s="5">
        <v>48</v>
      </c>
    </row>
    <row r="1318" spans="1:7" ht="16.5">
      <c r="A1318" s="5" t="s">
        <v>5991</v>
      </c>
      <c r="B1318" s="10" t="s">
        <v>5992</v>
      </c>
      <c r="C1318" s="5" t="s">
        <v>1302</v>
      </c>
      <c r="D1318" s="5" t="s">
        <v>3297</v>
      </c>
      <c r="E1318" s="5" t="s">
        <v>3298</v>
      </c>
      <c r="F1318" s="5">
        <v>26</v>
      </c>
      <c r="G1318" s="5">
        <v>156</v>
      </c>
    </row>
    <row r="1319" spans="1:7" ht="16.5">
      <c r="A1319" s="5" t="s">
        <v>5993</v>
      </c>
      <c r="B1319" s="10" t="s">
        <v>5994</v>
      </c>
      <c r="C1319" s="5" t="s">
        <v>1303</v>
      </c>
      <c r="D1319" s="5" t="s">
        <v>3297</v>
      </c>
      <c r="E1319" s="5" t="s">
        <v>3298</v>
      </c>
      <c r="F1319" s="5">
        <v>54</v>
      </c>
      <c r="G1319" s="5">
        <v>324</v>
      </c>
    </row>
    <row r="1320" spans="1:7" ht="16.5">
      <c r="A1320" s="5" t="s">
        <v>5995</v>
      </c>
      <c r="B1320" s="10" t="s">
        <v>5996</v>
      </c>
      <c r="C1320" s="5" t="s">
        <v>6</v>
      </c>
      <c r="D1320" s="5" t="s">
        <v>3297</v>
      </c>
      <c r="E1320" s="5" t="s">
        <v>3298</v>
      </c>
      <c r="F1320" s="5">
        <v>12</v>
      </c>
      <c r="G1320" s="5">
        <v>72</v>
      </c>
    </row>
    <row r="1321" spans="1:7" ht="16.5">
      <c r="A1321" s="5" t="s">
        <v>5997</v>
      </c>
      <c r="B1321" s="10" t="s">
        <v>5998</v>
      </c>
      <c r="C1321" s="5" t="s">
        <v>1304</v>
      </c>
      <c r="D1321" s="5" t="s">
        <v>3297</v>
      </c>
      <c r="E1321" s="5" t="s">
        <v>3298</v>
      </c>
      <c r="F1321" s="5">
        <v>12</v>
      </c>
      <c r="G1321" s="5">
        <v>72</v>
      </c>
    </row>
    <row r="1322" spans="1:7" ht="16.5">
      <c r="A1322" s="5" t="s">
        <v>5999</v>
      </c>
      <c r="B1322" s="10" t="s">
        <v>6000</v>
      </c>
      <c r="C1322" s="5" t="s">
        <v>1305</v>
      </c>
      <c r="D1322" s="5" t="s">
        <v>3297</v>
      </c>
      <c r="E1322" s="5" t="s">
        <v>3298</v>
      </c>
      <c r="F1322" s="5">
        <v>12</v>
      </c>
      <c r="G1322" s="5">
        <v>72</v>
      </c>
    </row>
    <row r="1323" spans="1:7" ht="16.5">
      <c r="A1323" s="5" t="s">
        <v>6001</v>
      </c>
      <c r="B1323" s="10" t="s">
        <v>6002</v>
      </c>
      <c r="C1323" s="5" t="s">
        <v>1306</v>
      </c>
      <c r="D1323" s="5" t="s">
        <v>3297</v>
      </c>
      <c r="E1323" s="5" t="s">
        <v>3298</v>
      </c>
      <c r="F1323" s="5">
        <v>7.8</v>
      </c>
      <c r="G1323" s="5">
        <v>47</v>
      </c>
    </row>
    <row r="1324" spans="1:7" ht="16.5">
      <c r="A1324" s="5" t="s">
        <v>6003</v>
      </c>
      <c r="B1324" s="10" t="s">
        <v>6004</v>
      </c>
      <c r="C1324" s="5" t="s">
        <v>1307</v>
      </c>
      <c r="D1324" s="5" t="s">
        <v>3297</v>
      </c>
      <c r="E1324" s="5" t="s">
        <v>3298</v>
      </c>
      <c r="F1324" s="5">
        <v>7.8</v>
      </c>
      <c r="G1324" s="5">
        <v>47</v>
      </c>
    </row>
    <row r="1325" spans="1:7" ht="16.5">
      <c r="A1325" s="5" t="s">
        <v>6005</v>
      </c>
      <c r="B1325" s="10" t="s">
        <v>6006</v>
      </c>
      <c r="C1325" s="5" t="s">
        <v>1308</v>
      </c>
      <c r="D1325" s="5" t="s">
        <v>3297</v>
      </c>
      <c r="E1325" s="5" t="s">
        <v>3298</v>
      </c>
      <c r="F1325" s="5">
        <v>7.8</v>
      </c>
      <c r="G1325" s="5">
        <v>47</v>
      </c>
    </row>
    <row r="1326" spans="1:7" ht="16.5">
      <c r="A1326" s="5" t="s">
        <v>6007</v>
      </c>
      <c r="B1326" s="10" t="s">
        <v>6008</v>
      </c>
      <c r="C1326" s="5" t="s">
        <v>1309</v>
      </c>
      <c r="D1326" s="5" t="s">
        <v>3297</v>
      </c>
      <c r="E1326" s="5" t="s">
        <v>3298</v>
      </c>
      <c r="F1326" s="5">
        <v>7.8</v>
      </c>
      <c r="G1326" s="5">
        <v>47</v>
      </c>
    </row>
    <row r="1327" spans="1:7" ht="16.5">
      <c r="A1327" s="5" t="s">
        <v>6009</v>
      </c>
      <c r="B1327" s="10" t="s">
        <v>6010</v>
      </c>
      <c r="C1327" s="5" t="s">
        <v>1310</v>
      </c>
      <c r="D1327" s="5" t="s">
        <v>3297</v>
      </c>
      <c r="E1327" s="5" t="s">
        <v>3298</v>
      </c>
      <c r="F1327" s="5">
        <v>7.8</v>
      </c>
      <c r="G1327" s="5">
        <v>47</v>
      </c>
    </row>
    <row r="1328" spans="1:7" ht="16.5">
      <c r="A1328" s="5" t="s">
        <v>6011</v>
      </c>
      <c r="B1328" s="10" t="s">
        <v>6012</v>
      </c>
      <c r="C1328" s="5" t="s">
        <v>1311</v>
      </c>
      <c r="D1328" s="5" t="s">
        <v>3297</v>
      </c>
      <c r="E1328" s="5" t="s">
        <v>3298</v>
      </c>
      <c r="F1328" s="5">
        <v>7.8</v>
      </c>
      <c r="G1328" s="5">
        <v>47</v>
      </c>
    </row>
    <row r="1329" spans="1:7" ht="16.5">
      <c r="A1329" s="5" t="s">
        <v>6013</v>
      </c>
      <c r="B1329" s="10" t="s">
        <v>6014</v>
      </c>
      <c r="C1329" s="5" t="s">
        <v>1312</v>
      </c>
      <c r="D1329" s="5" t="s">
        <v>3297</v>
      </c>
      <c r="E1329" s="5" t="s">
        <v>3298</v>
      </c>
      <c r="F1329" s="5">
        <v>7.8</v>
      </c>
      <c r="G1329" s="5">
        <v>47</v>
      </c>
    </row>
    <row r="1330" spans="1:7" ht="16.5">
      <c r="A1330" s="5" t="s">
        <v>6015</v>
      </c>
      <c r="B1330" s="10" t="s">
        <v>6016</v>
      </c>
      <c r="C1330" s="5" t="s">
        <v>1313</v>
      </c>
      <c r="D1330" s="5" t="s">
        <v>3297</v>
      </c>
      <c r="E1330" s="5" t="s">
        <v>3298</v>
      </c>
      <c r="F1330" s="5">
        <v>7.8</v>
      </c>
      <c r="G1330" s="5">
        <v>47</v>
      </c>
    </row>
    <row r="1331" spans="1:7" ht="16.5">
      <c r="A1331" s="5" t="s">
        <v>6017</v>
      </c>
      <c r="B1331" s="10" t="s">
        <v>6018</v>
      </c>
      <c r="C1331" s="5" t="s">
        <v>1314</v>
      </c>
      <c r="D1331" s="5" t="s">
        <v>3297</v>
      </c>
      <c r="E1331" s="5" t="s">
        <v>3298</v>
      </c>
      <c r="F1331" s="5">
        <v>7.8</v>
      </c>
      <c r="G1331" s="5">
        <v>47</v>
      </c>
    </row>
    <row r="1332" spans="1:7" ht="16.5">
      <c r="A1332" s="5" t="s">
        <v>6019</v>
      </c>
      <c r="B1332" s="10" t="s">
        <v>6020</v>
      </c>
      <c r="C1332" s="5" t="s">
        <v>1315</v>
      </c>
      <c r="D1332" s="5" t="s">
        <v>3297</v>
      </c>
      <c r="E1332" s="5" t="s">
        <v>3298</v>
      </c>
      <c r="F1332" s="5">
        <v>7.8</v>
      </c>
      <c r="G1332" s="5">
        <v>47</v>
      </c>
    </row>
    <row r="1333" spans="1:7" ht="16.5">
      <c r="A1333" s="5" t="s">
        <v>6021</v>
      </c>
      <c r="B1333" s="10" t="s">
        <v>6022</v>
      </c>
      <c r="C1333" s="5" t="s">
        <v>1316</v>
      </c>
      <c r="D1333" s="5" t="s">
        <v>3297</v>
      </c>
      <c r="E1333" s="5" t="s">
        <v>3298</v>
      </c>
      <c r="F1333" s="5">
        <v>7.8</v>
      </c>
      <c r="G1333" s="5">
        <v>47</v>
      </c>
    </row>
    <row r="1334" spans="1:7" ht="16.5">
      <c r="A1334" s="5" t="s">
        <v>6023</v>
      </c>
      <c r="B1334" s="10" t="s">
        <v>6024</v>
      </c>
      <c r="C1334" s="5" t="s">
        <v>1317</v>
      </c>
      <c r="D1334" s="5" t="s">
        <v>3297</v>
      </c>
      <c r="E1334" s="5" t="s">
        <v>3298</v>
      </c>
      <c r="F1334" s="5">
        <v>7.8</v>
      </c>
      <c r="G1334" s="5">
        <v>47</v>
      </c>
    </row>
    <row r="1335" spans="1:7" ht="16.5">
      <c r="A1335" s="5" t="s">
        <v>6025</v>
      </c>
      <c r="B1335" s="10" t="s">
        <v>6026</v>
      </c>
      <c r="C1335" s="5" t="s">
        <v>1318</v>
      </c>
      <c r="D1335" s="5" t="s">
        <v>3297</v>
      </c>
      <c r="E1335" s="5" t="s">
        <v>3298</v>
      </c>
      <c r="F1335" s="5">
        <v>7.8</v>
      </c>
      <c r="G1335" s="5">
        <v>47</v>
      </c>
    </row>
    <row r="1336" spans="1:7" ht="16.5">
      <c r="A1336" s="5" t="s">
        <v>6027</v>
      </c>
      <c r="B1336" s="10" t="s">
        <v>6028</v>
      </c>
      <c r="C1336" s="5" t="s">
        <v>1319</v>
      </c>
      <c r="D1336" s="5" t="s">
        <v>3297</v>
      </c>
      <c r="E1336" s="5" t="s">
        <v>3298</v>
      </c>
      <c r="F1336" s="5">
        <v>13</v>
      </c>
      <c r="G1336" s="5">
        <v>78</v>
      </c>
    </row>
    <row r="1337" spans="1:7" ht="16.5">
      <c r="A1337" s="5" t="s">
        <v>6029</v>
      </c>
      <c r="B1337" s="10" t="s">
        <v>6030</v>
      </c>
      <c r="C1337" s="5" t="s">
        <v>1320</v>
      </c>
      <c r="D1337" s="5" t="s">
        <v>3297</v>
      </c>
      <c r="E1337" s="5" t="s">
        <v>3298</v>
      </c>
      <c r="F1337" s="5">
        <v>29.8</v>
      </c>
      <c r="G1337" s="5">
        <v>179</v>
      </c>
    </row>
    <row r="1338" spans="1:7" ht="16.5">
      <c r="A1338" s="5" t="s">
        <v>6031</v>
      </c>
      <c r="B1338" s="10" t="s">
        <v>6032</v>
      </c>
      <c r="C1338" s="5" t="s">
        <v>1321</v>
      </c>
      <c r="D1338" s="5" t="s">
        <v>3297</v>
      </c>
      <c r="E1338" s="5" t="s">
        <v>3298</v>
      </c>
      <c r="F1338" s="5">
        <v>13</v>
      </c>
      <c r="G1338" s="5">
        <v>78</v>
      </c>
    </row>
    <row r="1339" spans="1:7" ht="16.5">
      <c r="A1339" s="5" t="s">
        <v>6033</v>
      </c>
      <c r="B1339" s="10" t="s">
        <v>6034</v>
      </c>
      <c r="C1339" s="5" t="s">
        <v>1322</v>
      </c>
      <c r="D1339" s="5" t="s">
        <v>3297</v>
      </c>
      <c r="E1339" s="5" t="s">
        <v>3298</v>
      </c>
      <c r="F1339" s="5">
        <v>15.8</v>
      </c>
      <c r="G1339" s="5">
        <v>95</v>
      </c>
    </row>
    <row r="1340" spans="1:7" ht="16.5">
      <c r="A1340" s="5" t="s">
        <v>6035</v>
      </c>
      <c r="B1340" s="10" t="s">
        <v>6036</v>
      </c>
      <c r="C1340" s="5" t="s">
        <v>1323</v>
      </c>
      <c r="D1340" s="5" t="s">
        <v>3297</v>
      </c>
      <c r="E1340" s="5" t="s">
        <v>3298</v>
      </c>
      <c r="F1340" s="5">
        <v>13</v>
      </c>
      <c r="G1340" s="5">
        <v>78</v>
      </c>
    </row>
    <row r="1341" spans="1:7" ht="16.5">
      <c r="A1341" s="5" t="s">
        <v>6037</v>
      </c>
      <c r="B1341" s="10" t="s">
        <v>6038</v>
      </c>
      <c r="C1341" s="5" t="s">
        <v>1324</v>
      </c>
      <c r="D1341" s="5" t="s">
        <v>3297</v>
      </c>
      <c r="E1341" s="5" t="s">
        <v>3298</v>
      </c>
      <c r="F1341" s="5">
        <v>39.8</v>
      </c>
      <c r="G1341" s="5">
        <v>239</v>
      </c>
    </row>
    <row r="1342" spans="1:7" ht="16.5">
      <c r="A1342" s="5" t="s">
        <v>6039</v>
      </c>
      <c r="B1342" s="10" t="s">
        <v>6040</v>
      </c>
      <c r="C1342" s="5" t="s">
        <v>1325</v>
      </c>
      <c r="D1342" s="5" t="s">
        <v>3297</v>
      </c>
      <c r="E1342" s="5" t="s">
        <v>3298</v>
      </c>
      <c r="F1342" s="5">
        <v>13</v>
      </c>
      <c r="G1342" s="5">
        <v>78</v>
      </c>
    </row>
    <row r="1343" spans="1:7" ht="16.5">
      <c r="A1343" s="5" t="s">
        <v>6041</v>
      </c>
      <c r="B1343" s="10" t="s">
        <v>6042</v>
      </c>
      <c r="C1343" s="5" t="s">
        <v>1326</v>
      </c>
      <c r="D1343" s="5" t="s">
        <v>6043</v>
      </c>
      <c r="E1343" s="5" t="s">
        <v>6044</v>
      </c>
      <c r="F1343" s="5">
        <v>38</v>
      </c>
      <c r="G1343" s="5">
        <v>228</v>
      </c>
    </row>
    <row r="1344" spans="1:7" ht="16.5">
      <c r="A1344" s="5" t="s">
        <v>6045</v>
      </c>
      <c r="B1344" s="10" t="s">
        <v>6046</v>
      </c>
      <c r="C1344" s="5" t="s">
        <v>1327</v>
      </c>
      <c r="D1344" s="5" t="s">
        <v>6043</v>
      </c>
      <c r="E1344" s="5" t="s">
        <v>6044</v>
      </c>
      <c r="F1344" s="5">
        <v>38</v>
      </c>
      <c r="G1344" s="5">
        <v>228</v>
      </c>
    </row>
    <row r="1345" spans="1:7" ht="16.5">
      <c r="A1345" s="5" t="s">
        <v>6047</v>
      </c>
      <c r="B1345" s="10" t="s">
        <v>6048</v>
      </c>
      <c r="C1345" s="5" t="s">
        <v>1328</v>
      </c>
      <c r="D1345" s="5" t="s">
        <v>6049</v>
      </c>
      <c r="E1345" s="5" t="s">
        <v>6050</v>
      </c>
      <c r="F1345" s="5">
        <v>29.8</v>
      </c>
      <c r="G1345" s="5">
        <v>179</v>
      </c>
    </row>
    <row r="1346" spans="1:7" ht="16.5">
      <c r="A1346" s="5" t="s">
        <v>6051</v>
      </c>
      <c r="B1346" s="10" t="s">
        <v>6052</v>
      </c>
      <c r="C1346" s="5" t="s">
        <v>1329</v>
      </c>
      <c r="D1346" s="5" t="s">
        <v>6053</v>
      </c>
      <c r="E1346" s="5" t="s">
        <v>6054</v>
      </c>
      <c r="F1346" s="5">
        <v>24.8</v>
      </c>
      <c r="G1346" s="5">
        <v>149</v>
      </c>
    </row>
    <row r="1347" spans="1:7" ht="16.5">
      <c r="A1347" s="5" t="s">
        <v>6055</v>
      </c>
      <c r="B1347" s="10" t="s">
        <v>6056</v>
      </c>
      <c r="C1347" s="5" t="s">
        <v>1330</v>
      </c>
      <c r="D1347" s="5" t="s">
        <v>6057</v>
      </c>
      <c r="E1347" s="5" t="s">
        <v>6054</v>
      </c>
      <c r="F1347" s="5">
        <v>19.8</v>
      </c>
      <c r="G1347" s="5">
        <v>119</v>
      </c>
    </row>
    <row r="1348" spans="1:7" ht="16.5">
      <c r="A1348" s="5" t="s">
        <v>6058</v>
      </c>
      <c r="B1348" s="10" t="s">
        <v>6059</v>
      </c>
      <c r="C1348" s="5" t="s">
        <v>1331</v>
      </c>
      <c r="D1348" s="5" t="s">
        <v>6060</v>
      </c>
      <c r="E1348" s="5" t="s">
        <v>6061</v>
      </c>
      <c r="F1348" s="5">
        <v>18.5</v>
      </c>
      <c r="G1348" s="5">
        <v>111</v>
      </c>
    </row>
    <row r="1349" spans="1:7" ht="16.5">
      <c r="A1349" s="5" t="s">
        <v>6062</v>
      </c>
      <c r="B1349" s="10" t="s">
        <v>6063</v>
      </c>
      <c r="C1349" s="5" t="s">
        <v>1332</v>
      </c>
      <c r="D1349" s="5" t="s">
        <v>6064</v>
      </c>
      <c r="E1349" s="5" t="s">
        <v>6061</v>
      </c>
      <c r="F1349" s="5">
        <v>54.5</v>
      </c>
      <c r="G1349" s="5">
        <v>327</v>
      </c>
    </row>
    <row r="1350" spans="1:7" ht="16.5">
      <c r="A1350" s="5" t="s">
        <v>6065</v>
      </c>
      <c r="B1350" s="10" t="s">
        <v>6066</v>
      </c>
      <c r="C1350" s="5" t="s">
        <v>1333</v>
      </c>
      <c r="D1350" s="5" t="s">
        <v>6067</v>
      </c>
      <c r="E1350" s="5" t="s">
        <v>6061</v>
      </c>
      <c r="F1350" s="5">
        <v>8.5</v>
      </c>
      <c r="G1350" s="5">
        <v>51</v>
      </c>
    </row>
    <row r="1351" spans="1:7" ht="16.5">
      <c r="A1351" s="5" t="s">
        <v>6068</v>
      </c>
      <c r="B1351" s="10" t="s">
        <v>6069</v>
      </c>
      <c r="C1351" s="5" t="s">
        <v>1334</v>
      </c>
      <c r="D1351" s="5" t="s">
        <v>6070</v>
      </c>
      <c r="E1351" s="5" t="s">
        <v>6061</v>
      </c>
      <c r="F1351" s="5">
        <v>48</v>
      </c>
      <c r="G1351" s="5">
        <v>288</v>
      </c>
    </row>
    <row r="1352" spans="1:7" ht="16.5">
      <c r="A1352" s="5" t="s">
        <v>6071</v>
      </c>
      <c r="B1352" s="10" t="s">
        <v>6072</v>
      </c>
      <c r="C1352" s="5" t="s">
        <v>1335</v>
      </c>
      <c r="D1352" s="5" t="s">
        <v>6073</v>
      </c>
      <c r="E1352" s="5" t="s">
        <v>6061</v>
      </c>
      <c r="F1352" s="5">
        <v>31</v>
      </c>
      <c r="G1352" s="5">
        <v>186</v>
      </c>
    </row>
    <row r="1353" spans="1:7" ht="16.5">
      <c r="A1353" s="5" t="s">
        <v>6074</v>
      </c>
      <c r="B1353" s="10" t="s">
        <v>6075</v>
      </c>
      <c r="C1353" s="5" t="s">
        <v>1336</v>
      </c>
      <c r="D1353" s="5" t="s">
        <v>6076</v>
      </c>
      <c r="E1353" s="5" t="s">
        <v>6061</v>
      </c>
      <c r="F1353" s="5">
        <v>43</v>
      </c>
      <c r="G1353" s="5">
        <v>258</v>
      </c>
    </row>
    <row r="1354" spans="1:7" ht="16.5">
      <c r="A1354" s="5" t="s">
        <v>6077</v>
      </c>
      <c r="B1354" s="10" t="s">
        <v>6078</v>
      </c>
      <c r="C1354" s="5" t="s">
        <v>1337</v>
      </c>
      <c r="D1354" s="5" t="s">
        <v>6079</v>
      </c>
      <c r="E1354" s="5" t="s">
        <v>6061</v>
      </c>
      <c r="F1354" s="5">
        <v>14</v>
      </c>
      <c r="G1354" s="5">
        <v>84</v>
      </c>
    </row>
    <row r="1355" spans="1:7" ht="16.5">
      <c r="A1355" s="5" t="s">
        <v>6080</v>
      </c>
      <c r="B1355" s="10" t="s">
        <v>6081</v>
      </c>
      <c r="C1355" s="5" t="s">
        <v>1338</v>
      </c>
      <c r="D1355" s="5" t="s">
        <v>6082</v>
      </c>
      <c r="E1355" s="5" t="s">
        <v>6061</v>
      </c>
      <c r="F1355" s="5">
        <v>18</v>
      </c>
      <c r="G1355" s="5">
        <v>108</v>
      </c>
    </row>
    <row r="1356" spans="1:7" ht="16.5">
      <c r="A1356" s="5" t="s">
        <v>6083</v>
      </c>
      <c r="B1356" s="10" t="s">
        <v>6084</v>
      </c>
      <c r="C1356" s="5" t="s">
        <v>1339</v>
      </c>
      <c r="D1356" s="5" t="s">
        <v>6085</v>
      </c>
      <c r="E1356" s="5" t="s">
        <v>6061</v>
      </c>
      <c r="F1356" s="5">
        <v>42</v>
      </c>
      <c r="G1356" s="5">
        <v>252</v>
      </c>
    </row>
    <row r="1357" spans="1:7" ht="16.5">
      <c r="A1357" s="5" t="s">
        <v>6086</v>
      </c>
      <c r="B1357" s="10" t="s">
        <v>6087</v>
      </c>
      <c r="C1357" s="5" t="s">
        <v>1340</v>
      </c>
      <c r="D1357" s="5" t="s">
        <v>6088</v>
      </c>
      <c r="E1357" s="5" t="s">
        <v>6061</v>
      </c>
      <c r="F1357" s="5">
        <v>22</v>
      </c>
      <c r="G1357" s="5">
        <v>132</v>
      </c>
    </row>
    <row r="1358" spans="1:7" ht="16.5">
      <c r="A1358" s="5" t="s">
        <v>6089</v>
      </c>
      <c r="B1358" s="10" t="s">
        <v>6090</v>
      </c>
      <c r="C1358" s="5" t="s">
        <v>1341</v>
      </c>
      <c r="D1358" s="5" t="s">
        <v>6091</v>
      </c>
      <c r="E1358" s="5" t="s">
        <v>6061</v>
      </c>
      <c r="F1358" s="5">
        <v>17</v>
      </c>
      <c r="G1358" s="5">
        <v>102</v>
      </c>
    </row>
    <row r="1359" spans="1:7" ht="16.5">
      <c r="A1359" s="5" t="s">
        <v>6092</v>
      </c>
      <c r="B1359" s="10" t="s">
        <v>6093</v>
      </c>
      <c r="C1359" s="5" t="s">
        <v>1342</v>
      </c>
      <c r="D1359" s="5" t="s">
        <v>6094</v>
      </c>
      <c r="E1359" s="5" t="s">
        <v>6061</v>
      </c>
      <c r="F1359" s="5">
        <v>13</v>
      </c>
      <c r="G1359" s="5">
        <v>78</v>
      </c>
    </row>
    <row r="1360" spans="1:7" ht="16.5">
      <c r="A1360" s="5" t="s">
        <v>6095</v>
      </c>
      <c r="B1360" s="10" t="s">
        <v>6096</v>
      </c>
      <c r="C1360" s="5" t="s">
        <v>1343</v>
      </c>
      <c r="D1360" s="5" t="s">
        <v>6097</v>
      </c>
      <c r="E1360" s="5" t="s">
        <v>6061</v>
      </c>
      <c r="F1360" s="5">
        <v>11</v>
      </c>
      <c r="G1360" s="5">
        <v>66</v>
      </c>
    </row>
    <row r="1361" spans="1:7" ht="16.5">
      <c r="A1361" s="5" t="s">
        <v>6098</v>
      </c>
      <c r="B1361" s="10" t="s">
        <v>6099</v>
      </c>
      <c r="C1361" s="5" t="s">
        <v>1344</v>
      </c>
      <c r="D1361" s="5" t="s">
        <v>6100</v>
      </c>
      <c r="E1361" s="5" t="s">
        <v>6061</v>
      </c>
      <c r="F1361" s="5">
        <v>76.5</v>
      </c>
      <c r="G1361" s="5">
        <v>459</v>
      </c>
    </row>
    <row r="1362" spans="1:7" ht="16.5">
      <c r="A1362" s="5" t="s">
        <v>6101</v>
      </c>
      <c r="B1362" s="10" t="s">
        <v>6102</v>
      </c>
      <c r="C1362" s="5" t="s">
        <v>1345</v>
      </c>
      <c r="D1362" s="5" t="s">
        <v>6103</v>
      </c>
      <c r="E1362" s="5" t="s">
        <v>6061</v>
      </c>
      <c r="F1362" s="5">
        <v>14</v>
      </c>
      <c r="G1362" s="5">
        <v>84</v>
      </c>
    </row>
    <row r="1363" spans="1:7" ht="16.5">
      <c r="A1363" s="5" t="s">
        <v>6104</v>
      </c>
      <c r="B1363" s="10" t="s">
        <v>6105</v>
      </c>
      <c r="C1363" s="5" t="s">
        <v>1346</v>
      </c>
      <c r="D1363" s="5" t="s">
        <v>6106</v>
      </c>
      <c r="E1363" s="5" t="s">
        <v>6061</v>
      </c>
      <c r="F1363" s="5">
        <v>16</v>
      </c>
      <c r="G1363" s="5">
        <v>96</v>
      </c>
    </row>
    <row r="1364" spans="1:7" ht="16.5">
      <c r="A1364" s="5" t="s">
        <v>6107</v>
      </c>
      <c r="B1364" s="10" t="s">
        <v>6108</v>
      </c>
      <c r="C1364" s="5" t="s">
        <v>1347</v>
      </c>
      <c r="D1364" s="5" t="s">
        <v>6109</v>
      </c>
      <c r="E1364" s="5" t="s">
        <v>6061</v>
      </c>
      <c r="F1364" s="5">
        <v>32.5</v>
      </c>
      <c r="G1364" s="5">
        <v>195</v>
      </c>
    </row>
    <row r="1365" spans="1:7" ht="16.5">
      <c r="A1365" s="5" t="s">
        <v>6110</v>
      </c>
      <c r="B1365" s="10" t="s">
        <v>6111</v>
      </c>
      <c r="C1365" s="5" t="s">
        <v>1348</v>
      </c>
      <c r="D1365" s="5" t="s">
        <v>6112</v>
      </c>
      <c r="E1365" s="5" t="s">
        <v>6061</v>
      </c>
      <c r="F1365" s="5">
        <v>15</v>
      </c>
      <c r="G1365" s="5">
        <v>90</v>
      </c>
    </row>
    <row r="1366" spans="1:7" ht="16.5">
      <c r="A1366" s="5" t="s">
        <v>6113</v>
      </c>
      <c r="B1366" s="10" t="s">
        <v>6114</v>
      </c>
      <c r="C1366" s="5" t="s">
        <v>1349</v>
      </c>
      <c r="D1366" s="5" t="s">
        <v>6115</v>
      </c>
      <c r="E1366" s="5" t="s">
        <v>6061</v>
      </c>
      <c r="F1366" s="5">
        <v>35.5</v>
      </c>
      <c r="G1366" s="5">
        <v>213</v>
      </c>
    </row>
    <row r="1367" spans="1:7" ht="16.5">
      <c r="A1367" s="5" t="s">
        <v>6116</v>
      </c>
      <c r="B1367" s="10" t="s">
        <v>6117</v>
      </c>
      <c r="C1367" s="5" t="s">
        <v>1350</v>
      </c>
      <c r="D1367" s="5" t="s">
        <v>6118</v>
      </c>
      <c r="E1367" s="5" t="s">
        <v>6061</v>
      </c>
      <c r="F1367" s="5">
        <v>13.5</v>
      </c>
      <c r="G1367" s="5">
        <v>81</v>
      </c>
    </row>
    <row r="1368" spans="1:7" ht="16.5">
      <c r="A1368" s="5" t="s">
        <v>6119</v>
      </c>
      <c r="B1368" s="10" t="s">
        <v>6120</v>
      </c>
      <c r="C1368" s="5" t="s">
        <v>1351</v>
      </c>
      <c r="D1368" s="5" t="s">
        <v>6121</v>
      </c>
      <c r="E1368" s="5" t="s">
        <v>6061</v>
      </c>
      <c r="F1368" s="5">
        <v>16.5</v>
      </c>
      <c r="G1368" s="5">
        <v>99</v>
      </c>
    </row>
    <row r="1369" spans="1:7" ht="16.5">
      <c r="A1369" s="5" t="s">
        <v>6122</v>
      </c>
      <c r="B1369" s="10" t="s">
        <v>6123</v>
      </c>
      <c r="C1369" s="5" t="s">
        <v>1352</v>
      </c>
      <c r="D1369" s="5" t="s">
        <v>6124</v>
      </c>
      <c r="E1369" s="5" t="s">
        <v>6061</v>
      </c>
      <c r="F1369" s="5">
        <v>16</v>
      </c>
      <c r="G1369" s="5">
        <v>96</v>
      </c>
    </row>
    <row r="1370" spans="1:7" ht="16.5">
      <c r="A1370" s="5" t="s">
        <v>6125</v>
      </c>
      <c r="B1370" s="10" t="s">
        <v>6126</v>
      </c>
      <c r="C1370" s="5" t="s">
        <v>1353</v>
      </c>
      <c r="D1370" s="5" t="s">
        <v>6127</v>
      </c>
      <c r="E1370" s="5" t="s">
        <v>6061</v>
      </c>
      <c r="F1370" s="5">
        <v>16.5</v>
      </c>
      <c r="G1370" s="5">
        <v>99</v>
      </c>
    </row>
    <row r="1371" spans="1:7" ht="16.5">
      <c r="A1371" s="5" t="s">
        <v>6128</v>
      </c>
      <c r="B1371" s="10" t="s">
        <v>6129</v>
      </c>
      <c r="C1371" s="5" t="s">
        <v>1354</v>
      </c>
      <c r="D1371" s="5" t="s">
        <v>6130</v>
      </c>
      <c r="E1371" s="5" t="s">
        <v>6061</v>
      </c>
      <c r="F1371" s="5">
        <v>29.5</v>
      </c>
      <c r="G1371" s="5">
        <v>177</v>
      </c>
    </row>
    <row r="1372" spans="1:7" ht="16.5">
      <c r="A1372" s="5" t="s">
        <v>6131</v>
      </c>
      <c r="B1372" s="10" t="s">
        <v>6132</v>
      </c>
      <c r="C1372" s="5" t="s">
        <v>1355</v>
      </c>
      <c r="D1372" s="5" t="s">
        <v>6133</v>
      </c>
      <c r="E1372" s="5" t="s">
        <v>6061</v>
      </c>
      <c r="F1372" s="5">
        <v>15</v>
      </c>
      <c r="G1372" s="5">
        <v>90</v>
      </c>
    </row>
    <row r="1373" spans="1:7" ht="16.5">
      <c r="A1373" s="5" t="s">
        <v>6134</v>
      </c>
      <c r="B1373" s="10" t="s">
        <v>6135</v>
      </c>
      <c r="C1373" s="5" t="s">
        <v>1356</v>
      </c>
      <c r="D1373" s="5" t="s">
        <v>6136</v>
      </c>
      <c r="E1373" s="5" t="s">
        <v>6061</v>
      </c>
      <c r="F1373" s="5">
        <v>15</v>
      </c>
      <c r="G1373" s="5">
        <v>90</v>
      </c>
    </row>
    <row r="1374" spans="1:7" ht="16.5">
      <c r="A1374" s="5" t="s">
        <v>6137</v>
      </c>
      <c r="B1374" s="10" t="s">
        <v>6138</v>
      </c>
      <c r="C1374" s="5" t="s">
        <v>1357</v>
      </c>
      <c r="D1374" s="5" t="s">
        <v>6139</v>
      </c>
      <c r="E1374" s="5" t="s">
        <v>6061</v>
      </c>
      <c r="F1374" s="5">
        <v>13.5</v>
      </c>
      <c r="G1374" s="5">
        <v>81</v>
      </c>
    </row>
    <row r="1375" spans="1:7" ht="16.5">
      <c r="A1375" s="5" t="s">
        <v>6140</v>
      </c>
      <c r="B1375" s="10" t="s">
        <v>6141</v>
      </c>
      <c r="C1375" s="5" t="s">
        <v>1358</v>
      </c>
      <c r="D1375" s="5" t="s">
        <v>6142</v>
      </c>
      <c r="E1375" s="5" t="s">
        <v>6061</v>
      </c>
      <c r="F1375" s="5">
        <v>55</v>
      </c>
      <c r="G1375" s="5">
        <v>330</v>
      </c>
    </row>
    <row r="1376" spans="1:7" ht="16.5">
      <c r="A1376" s="5" t="s">
        <v>6143</v>
      </c>
      <c r="B1376" s="10" t="s">
        <v>6144</v>
      </c>
      <c r="C1376" s="5" t="s">
        <v>1359</v>
      </c>
      <c r="D1376" s="5" t="s">
        <v>6145</v>
      </c>
      <c r="E1376" s="5" t="s">
        <v>6061</v>
      </c>
      <c r="F1376" s="5">
        <v>13</v>
      </c>
      <c r="G1376" s="5">
        <v>78</v>
      </c>
    </row>
    <row r="1377" spans="1:7" ht="16.5">
      <c r="A1377" s="5" t="s">
        <v>6146</v>
      </c>
      <c r="B1377" s="10" t="s">
        <v>6147</v>
      </c>
      <c r="C1377" s="5" t="s">
        <v>1360</v>
      </c>
      <c r="D1377" s="5" t="s">
        <v>6148</v>
      </c>
      <c r="E1377" s="5" t="s">
        <v>6061</v>
      </c>
      <c r="F1377" s="5">
        <v>90</v>
      </c>
      <c r="G1377" s="5">
        <v>540</v>
      </c>
    </row>
    <row r="1378" spans="1:7" ht="16.5">
      <c r="A1378" s="5" t="s">
        <v>6149</v>
      </c>
      <c r="B1378" s="10" t="s">
        <v>6150</v>
      </c>
      <c r="C1378" s="5" t="s">
        <v>1361</v>
      </c>
      <c r="D1378" s="5" t="s">
        <v>6151</v>
      </c>
      <c r="E1378" s="5" t="s">
        <v>6061</v>
      </c>
      <c r="F1378" s="5">
        <v>25.5</v>
      </c>
      <c r="G1378" s="5">
        <v>153</v>
      </c>
    </row>
    <row r="1379" spans="1:7" ht="16.5">
      <c r="A1379" s="5" t="s">
        <v>6152</v>
      </c>
      <c r="B1379" s="10" t="s">
        <v>6153</v>
      </c>
      <c r="C1379" s="5" t="s">
        <v>1362</v>
      </c>
      <c r="D1379" s="5" t="s">
        <v>6154</v>
      </c>
      <c r="E1379" s="5" t="s">
        <v>6061</v>
      </c>
      <c r="F1379" s="5">
        <v>20.5</v>
      </c>
      <c r="G1379" s="5">
        <v>123</v>
      </c>
    </row>
    <row r="1380" spans="1:7" ht="16.5">
      <c r="A1380" s="5" t="s">
        <v>6155</v>
      </c>
      <c r="B1380" s="10" t="s">
        <v>6156</v>
      </c>
      <c r="C1380" s="5" t="s">
        <v>1363</v>
      </c>
      <c r="D1380" s="5" t="s">
        <v>6157</v>
      </c>
      <c r="E1380" s="5" t="s">
        <v>6061</v>
      </c>
      <c r="F1380" s="5">
        <v>14</v>
      </c>
      <c r="G1380" s="5">
        <v>84</v>
      </c>
    </row>
    <row r="1381" spans="1:7" ht="16.5">
      <c r="A1381" s="5" t="s">
        <v>6158</v>
      </c>
      <c r="B1381" s="10" t="s">
        <v>6159</v>
      </c>
      <c r="C1381" s="5" t="s">
        <v>1364</v>
      </c>
      <c r="D1381" s="5" t="s">
        <v>6160</v>
      </c>
      <c r="E1381" s="5" t="s">
        <v>6061</v>
      </c>
      <c r="F1381" s="5">
        <v>20</v>
      </c>
      <c r="G1381" s="5">
        <v>120</v>
      </c>
    </row>
    <row r="1382" spans="1:7" ht="16.5">
      <c r="A1382" s="5" t="s">
        <v>6161</v>
      </c>
      <c r="B1382" s="10" t="s">
        <v>6162</v>
      </c>
      <c r="C1382" s="5" t="s">
        <v>1365</v>
      </c>
      <c r="D1382" s="5" t="s">
        <v>6163</v>
      </c>
      <c r="E1382" s="5" t="s">
        <v>6061</v>
      </c>
      <c r="F1382" s="5">
        <v>26.8</v>
      </c>
      <c r="G1382" s="5">
        <v>161</v>
      </c>
    </row>
    <row r="1383" spans="1:7" ht="16.5">
      <c r="A1383" s="5" t="s">
        <v>6164</v>
      </c>
      <c r="B1383" s="10" t="s">
        <v>6165</v>
      </c>
      <c r="C1383" s="5" t="s">
        <v>1366</v>
      </c>
      <c r="D1383" s="5" t="s">
        <v>6166</v>
      </c>
      <c r="E1383" s="5" t="s">
        <v>6167</v>
      </c>
      <c r="F1383" s="5">
        <v>28</v>
      </c>
      <c r="G1383" s="5">
        <v>168</v>
      </c>
    </row>
    <row r="1384" spans="1:7" ht="16.5">
      <c r="A1384" s="5" t="s">
        <v>6168</v>
      </c>
      <c r="B1384" s="10" t="s">
        <v>6169</v>
      </c>
      <c r="C1384" s="5" t="s">
        <v>1367</v>
      </c>
      <c r="D1384" s="5" t="s">
        <v>6170</v>
      </c>
      <c r="E1384" s="5" t="s">
        <v>6171</v>
      </c>
      <c r="F1384" s="5">
        <v>58</v>
      </c>
      <c r="G1384" s="5">
        <v>348</v>
      </c>
    </row>
    <row r="1385" spans="1:7" ht="16.5">
      <c r="A1385" s="5" t="s">
        <v>6172</v>
      </c>
      <c r="B1385" s="10" t="s">
        <v>6173</v>
      </c>
      <c r="C1385" s="5" t="s">
        <v>1368</v>
      </c>
      <c r="D1385" s="5" t="s">
        <v>6174</v>
      </c>
      <c r="E1385" s="5" t="s">
        <v>6175</v>
      </c>
      <c r="F1385" s="5">
        <v>30</v>
      </c>
      <c r="G1385" s="5">
        <v>180</v>
      </c>
    </row>
    <row r="1386" spans="1:7" ht="16.5">
      <c r="A1386" s="5" t="s">
        <v>6176</v>
      </c>
      <c r="B1386" s="10" t="s">
        <v>6177</v>
      </c>
      <c r="C1386" s="5" t="s">
        <v>1369</v>
      </c>
      <c r="D1386" s="5" t="s">
        <v>6178</v>
      </c>
      <c r="E1386" s="5" t="s">
        <v>6179</v>
      </c>
      <c r="F1386" s="5">
        <v>25</v>
      </c>
      <c r="G1386" s="5">
        <v>150</v>
      </c>
    </row>
    <row r="1387" spans="1:7" ht="16.5">
      <c r="A1387" s="5" t="s">
        <v>6180</v>
      </c>
      <c r="B1387" s="10" t="s">
        <v>6181</v>
      </c>
      <c r="C1387" s="5" t="s">
        <v>6182</v>
      </c>
      <c r="D1387" s="5" t="s">
        <v>6178</v>
      </c>
      <c r="E1387" s="5" t="s">
        <v>6179</v>
      </c>
      <c r="F1387" s="5">
        <v>25</v>
      </c>
      <c r="G1387" s="5">
        <v>150</v>
      </c>
    </row>
    <row r="1388" spans="1:7" ht="16.5">
      <c r="A1388" s="5" t="s">
        <v>6183</v>
      </c>
      <c r="B1388" s="10" t="s">
        <v>6184</v>
      </c>
      <c r="C1388" s="5" t="s">
        <v>1370</v>
      </c>
      <c r="D1388" s="5" t="s">
        <v>2337</v>
      </c>
      <c r="E1388" s="5" t="s">
        <v>6185</v>
      </c>
      <c r="F1388" s="5">
        <v>8.5</v>
      </c>
      <c r="G1388" s="5">
        <v>51</v>
      </c>
    </row>
    <row r="1389" spans="1:7" ht="16.5">
      <c r="A1389" s="5" t="s">
        <v>6186</v>
      </c>
      <c r="B1389" s="10" t="s">
        <v>6187</v>
      </c>
      <c r="C1389" s="5" t="s">
        <v>1371</v>
      </c>
      <c r="D1389" s="5" t="s">
        <v>6188</v>
      </c>
      <c r="E1389" s="5" t="s">
        <v>2236</v>
      </c>
      <c r="F1389" s="5">
        <v>18</v>
      </c>
      <c r="G1389" s="5">
        <v>108</v>
      </c>
    </row>
    <row r="1390" spans="1:7" ht="16.5">
      <c r="A1390" s="5" t="s">
        <v>6189</v>
      </c>
      <c r="B1390" s="10" t="s">
        <v>6190</v>
      </c>
      <c r="C1390" s="5" t="s">
        <v>1372</v>
      </c>
      <c r="D1390" s="5" t="s">
        <v>6191</v>
      </c>
      <c r="E1390" s="5" t="s">
        <v>6192</v>
      </c>
      <c r="F1390" s="5">
        <v>16</v>
      </c>
      <c r="G1390" s="5">
        <v>96</v>
      </c>
    </row>
    <row r="1391" spans="1:7" ht="16.5">
      <c r="A1391" s="5" t="s">
        <v>6193</v>
      </c>
      <c r="B1391" s="10" t="s">
        <v>6194</v>
      </c>
      <c r="C1391" s="5" t="s">
        <v>1373</v>
      </c>
      <c r="D1391" s="5" t="s">
        <v>6195</v>
      </c>
      <c r="E1391" s="5" t="s">
        <v>6192</v>
      </c>
      <c r="F1391" s="5">
        <v>22</v>
      </c>
      <c r="G1391" s="5">
        <v>132</v>
      </c>
    </row>
    <row r="1392" spans="1:7" ht="16.5">
      <c r="A1392" s="5" t="s">
        <v>6196</v>
      </c>
      <c r="B1392" s="10" t="s">
        <v>6197</v>
      </c>
      <c r="C1392" s="5" t="s">
        <v>1374</v>
      </c>
      <c r="D1392" s="5" t="s">
        <v>6198</v>
      </c>
      <c r="E1392" s="5" t="s">
        <v>6192</v>
      </c>
      <c r="F1392" s="5">
        <v>29</v>
      </c>
      <c r="G1392" s="5">
        <v>174</v>
      </c>
    </row>
    <row r="1393" spans="1:7" ht="16.5">
      <c r="A1393" s="5" t="s">
        <v>6199</v>
      </c>
      <c r="B1393" s="10" t="s">
        <v>6200</v>
      </c>
      <c r="C1393" s="5" t="s">
        <v>1375</v>
      </c>
      <c r="D1393" s="5" t="s">
        <v>2860</v>
      </c>
      <c r="E1393" s="5" t="s">
        <v>6192</v>
      </c>
      <c r="F1393" s="5">
        <v>15</v>
      </c>
      <c r="G1393" s="5">
        <v>90</v>
      </c>
    </row>
    <row r="1394" spans="1:7" ht="16.5">
      <c r="A1394" s="5" t="s">
        <v>6201</v>
      </c>
      <c r="B1394" s="10" t="s">
        <v>6202</v>
      </c>
      <c r="C1394" s="5" t="s">
        <v>1376</v>
      </c>
      <c r="D1394" s="5" t="s">
        <v>6203</v>
      </c>
      <c r="E1394" s="5" t="s">
        <v>6192</v>
      </c>
      <c r="F1394" s="5">
        <v>22</v>
      </c>
      <c r="G1394" s="5">
        <v>132</v>
      </c>
    </row>
    <row r="1395" spans="1:7" ht="16.5">
      <c r="A1395" s="5" t="s">
        <v>6204</v>
      </c>
      <c r="B1395" s="10" t="s">
        <v>6205</v>
      </c>
      <c r="C1395" s="5" t="s">
        <v>1377</v>
      </c>
      <c r="D1395" s="5" t="s">
        <v>2260</v>
      </c>
      <c r="E1395" s="5" t="s">
        <v>6192</v>
      </c>
      <c r="F1395" s="5">
        <v>30</v>
      </c>
      <c r="G1395" s="5">
        <v>180</v>
      </c>
    </row>
    <row r="1396" spans="1:7" ht="16.5">
      <c r="A1396" s="5" t="s">
        <v>6206</v>
      </c>
      <c r="B1396" s="10" t="s">
        <v>6207</v>
      </c>
      <c r="C1396" s="5" t="s">
        <v>1378</v>
      </c>
      <c r="D1396" s="5" t="s">
        <v>6208</v>
      </c>
      <c r="E1396" s="5" t="s">
        <v>6192</v>
      </c>
      <c r="F1396" s="5">
        <v>20</v>
      </c>
      <c r="G1396" s="5">
        <v>120</v>
      </c>
    </row>
    <row r="1397" spans="1:7" ht="16.5">
      <c r="A1397" s="5" t="s">
        <v>6209</v>
      </c>
      <c r="B1397" s="10" t="s">
        <v>6210</v>
      </c>
      <c r="C1397" s="5" t="s">
        <v>1379</v>
      </c>
      <c r="D1397" s="5" t="s">
        <v>6211</v>
      </c>
      <c r="E1397" s="5" t="s">
        <v>6192</v>
      </c>
      <c r="F1397" s="5">
        <v>18</v>
      </c>
      <c r="G1397" s="5">
        <v>108</v>
      </c>
    </row>
    <row r="1398" spans="1:7" ht="16.5">
      <c r="A1398" s="5" t="s">
        <v>6212</v>
      </c>
      <c r="B1398" s="10" t="s">
        <v>6213</v>
      </c>
      <c r="C1398" s="5" t="s">
        <v>1380</v>
      </c>
      <c r="D1398" s="5" t="s">
        <v>6214</v>
      </c>
      <c r="E1398" s="5" t="s">
        <v>6192</v>
      </c>
      <c r="F1398" s="5">
        <v>16</v>
      </c>
      <c r="G1398" s="5">
        <v>96</v>
      </c>
    </row>
    <row r="1399" spans="1:7" ht="16.5">
      <c r="A1399" s="5" t="s">
        <v>6215</v>
      </c>
      <c r="B1399" s="10" t="s">
        <v>6216</v>
      </c>
      <c r="C1399" s="5" t="s">
        <v>1381</v>
      </c>
      <c r="D1399" s="5" t="s">
        <v>6217</v>
      </c>
      <c r="E1399" s="5" t="s">
        <v>6192</v>
      </c>
      <c r="F1399" s="5">
        <v>28</v>
      </c>
      <c r="G1399" s="5">
        <v>168</v>
      </c>
    </row>
    <row r="1400" spans="1:7" ht="16.5">
      <c r="A1400" s="5" t="s">
        <v>6218</v>
      </c>
      <c r="B1400" s="10" t="s">
        <v>6219</v>
      </c>
      <c r="C1400" s="5" t="s">
        <v>1382</v>
      </c>
      <c r="D1400" s="5" t="s">
        <v>6220</v>
      </c>
      <c r="E1400" s="5" t="s">
        <v>6192</v>
      </c>
      <c r="F1400" s="5">
        <v>52</v>
      </c>
      <c r="G1400" s="5">
        <v>312</v>
      </c>
    </row>
    <row r="1401" spans="1:7" ht="16.5">
      <c r="A1401" s="5" t="s">
        <v>6221</v>
      </c>
      <c r="B1401" s="10" t="s">
        <v>6222</v>
      </c>
      <c r="C1401" s="5" t="s">
        <v>1383</v>
      </c>
      <c r="D1401" s="5" t="s">
        <v>6223</v>
      </c>
      <c r="E1401" s="5" t="s">
        <v>6224</v>
      </c>
      <c r="F1401" s="5">
        <v>58</v>
      </c>
      <c r="G1401" s="5">
        <v>348</v>
      </c>
    </row>
    <row r="1402" spans="1:7" ht="16.5">
      <c r="A1402" s="5" t="s">
        <v>6225</v>
      </c>
      <c r="B1402" s="10" t="s">
        <v>6226</v>
      </c>
      <c r="C1402" s="5" t="s">
        <v>1384</v>
      </c>
      <c r="D1402" s="5" t="s">
        <v>6227</v>
      </c>
      <c r="E1402" s="5" t="s">
        <v>6224</v>
      </c>
      <c r="F1402" s="5">
        <v>46</v>
      </c>
      <c r="G1402" s="5">
        <v>276</v>
      </c>
    </row>
    <row r="1403" spans="1:7" ht="16.5">
      <c r="A1403" s="5" t="s">
        <v>6228</v>
      </c>
      <c r="B1403" s="10" t="s">
        <v>6229</v>
      </c>
      <c r="C1403" s="5" t="s">
        <v>1385</v>
      </c>
      <c r="D1403" s="5" t="s">
        <v>6230</v>
      </c>
      <c r="E1403" s="5" t="s">
        <v>6224</v>
      </c>
      <c r="F1403" s="5">
        <v>58</v>
      </c>
      <c r="G1403" s="5">
        <v>348</v>
      </c>
    </row>
    <row r="1404" spans="1:7" ht="16.5">
      <c r="A1404" s="5" t="s">
        <v>6231</v>
      </c>
      <c r="B1404" s="10" t="s">
        <v>6232</v>
      </c>
      <c r="C1404" s="5" t="s">
        <v>1122</v>
      </c>
      <c r="D1404" s="5" t="s">
        <v>6233</v>
      </c>
      <c r="E1404" s="5" t="s">
        <v>2912</v>
      </c>
      <c r="F1404" s="5">
        <v>26.8</v>
      </c>
      <c r="G1404" s="5">
        <v>161</v>
      </c>
    </row>
    <row r="1405" spans="1:7" ht="16.5">
      <c r="A1405" s="5" t="s">
        <v>6234</v>
      </c>
      <c r="B1405" s="10" t="s">
        <v>6235</v>
      </c>
      <c r="C1405" s="5" t="s">
        <v>1386</v>
      </c>
      <c r="D1405" s="5" t="s">
        <v>6236</v>
      </c>
      <c r="E1405" s="5" t="s">
        <v>2912</v>
      </c>
      <c r="F1405" s="5">
        <v>28</v>
      </c>
      <c r="G1405" s="5">
        <v>168</v>
      </c>
    </row>
    <row r="1406" spans="1:7" ht="16.5">
      <c r="A1406" s="5" t="s">
        <v>6237</v>
      </c>
      <c r="B1406" s="10" t="s">
        <v>6238</v>
      </c>
      <c r="C1406" s="5" t="s">
        <v>1387</v>
      </c>
      <c r="D1406" s="5" t="s">
        <v>6239</v>
      </c>
      <c r="E1406" s="5" t="s">
        <v>2912</v>
      </c>
      <c r="F1406" s="5">
        <v>25</v>
      </c>
      <c r="G1406" s="5">
        <v>150</v>
      </c>
    </row>
    <row r="1407" spans="1:7" ht="16.5">
      <c r="A1407" s="5" t="s">
        <v>6240</v>
      </c>
      <c r="B1407" s="10" t="s">
        <v>6238</v>
      </c>
      <c r="C1407" s="5" t="s">
        <v>1388</v>
      </c>
      <c r="D1407" s="5" t="s">
        <v>6239</v>
      </c>
      <c r="E1407" s="5" t="s">
        <v>2912</v>
      </c>
      <c r="F1407" s="5">
        <v>25</v>
      </c>
      <c r="G1407" s="5">
        <v>150</v>
      </c>
    </row>
    <row r="1408" spans="1:7" ht="16.5">
      <c r="A1408" s="5" t="s">
        <v>6241</v>
      </c>
      <c r="B1408" s="10" t="s">
        <v>6242</v>
      </c>
      <c r="C1408" s="5" t="s">
        <v>1389</v>
      </c>
      <c r="D1408" s="5" t="s">
        <v>6243</v>
      </c>
      <c r="E1408" s="5" t="s">
        <v>2912</v>
      </c>
      <c r="F1408" s="5">
        <v>29.8</v>
      </c>
      <c r="G1408" s="5">
        <v>179</v>
      </c>
    </row>
    <row r="1409" spans="1:7" ht="16.5">
      <c r="A1409" s="5" t="s">
        <v>6244</v>
      </c>
      <c r="B1409" s="10" t="s">
        <v>6242</v>
      </c>
      <c r="C1409" s="5" t="s">
        <v>1390</v>
      </c>
      <c r="D1409" s="5" t="s">
        <v>6243</v>
      </c>
      <c r="E1409" s="5" t="s">
        <v>2912</v>
      </c>
      <c r="F1409" s="5">
        <v>29.8</v>
      </c>
      <c r="G1409" s="5">
        <v>179</v>
      </c>
    </row>
    <row r="1410" spans="1:7" ht="16.5">
      <c r="A1410" s="5" t="s">
        <v>6245</v>
      </c>
      <c r="B1410" s="10" t="s">
        <v>6246</v>
      </c>
      <c r="C1410" s="5" t="s">
        <v>1391</v>
      </c>
      <c r="D1410" s="5" t="s">
        <v>6247</v>
      </c>
      <c r="E1410" s="5" t="s">
        <v>6248</v>
      </c>
      <c r="F1410" s="5">
        <v>34</v>
      </c>
      <c r="G1410" s="5">
        <v>204</v>
      </c>
    </row>
    <row r="1411" spans="1:7" ht="16.5">
      <c r="A1411" s="5" t="s">
        <v>6249</v>
      </c>
      <c r="B1411" s="10" t="s">
        <v>6250</v>
      </c>
      <c r="C1411" s="5" t="s">
        <v>1392</v>
      </c>
      <c r="D1411" s="5" t="s">
        <v>6251</v>
      </c>
      <c r="E1411" s="5" t="s">
        <v>6248</v>
      </c>
      <c r="F1411" s="5">
        <v>32.8</v>
      </c>
      <c r="G1411" s="5">
        <v>197</v>
      </c>
    </row>
    <row r="1412" spans="1:7" ht="16.5">
      <c r="A1412" s="5" t="s">
        <v>6252</v>
      </c>
      <c r="B1412" s="10" t="s">
        <v>6253</v>
      </c>
      <c r="C1412" s="5" t="s">
        <v>1393</v>
      </c>
      <c r="D1412" s="5" t="s">
        <v>6254</v>
      </c>
      <c r="E1412" s="5" t="s">
        <v>6248</v>
      </c>
      <c r="F1412" s="5">
        <v>19.8</v>
      </c>
      <c r="G1412" s="5">
        <v>119</v>
      </c>
    </row>
    <row r="1413" spans="1:7" ht="16.5">
      <c r="A1413" s="5" t="s">
        <v>6255</v>
      </c>
      <c r="B1413" s="10" t="s">
        <v>6256</v>
      </c>
      <c r="C1413" s="5" t="s">
        <v>1394</v>
      </c>
      <c r="D1413" s="5" t="s">
        <v>6254</v>
      </c>
      <c r="E1413" s="5" t="s">
        <v>6248</v>
      </c>
      <c r="F1413" s="5">
        <v>19.8</v>
      </c>
      <c r="G1413" s="5">
        <v>119</v>
      </c>
    </row>
    <row r="1414" spans="1:7" ht="16.5">
      <c r="A1414" s="5" t="s">
        <v>6257</v>
      </c>
      <c r="B1414" s="10" t="s">
        <v>6258</v>
      </c>
      <c r="C1414" s="5" t="s">
        <v>1395</v>
      </c>
      <c r="D1414" s="5" t="s">
        <v>6254</v>
      </c>
      <c r="E1414" s="5" t="s">
        <v>6248</v>
      </c>
      <c r="F1414" s="5">
        <v>19.8</v>
      </c>
      <c r="G1414" s="5">
        <v>119</v>
      </c>
    </row>
    <row r="1415" spans="1:7" ht="16.5">
      <c r="A1415" s="5" t="s">
        <v>6259</v>
      </c>
      <c r="B1415" s="10" t="s">
        <v>6260</v>
      </c>
      <c r="C1415" s="5" t="s">
        <v>1396</v>
      </c>
      <c r="D1415" s="5" t="s">
        <v>6261</v>
      </c>
      <c r="E1415" s="5" t="s">
        <v>6262</v>
      </c>
      <c r="F1415" s="5">
        <v>30</v>
      </c>
      <c r="G1415" s="5">
        <v>180</v>
      </c>
    </row>
    <row r="1416" spans="1:7" ht="16.5">
      <c r="A1416" s="5" t="s">
        <v>6263</v>
      </c>
      <c r="B1416" s="10" t="s">
        <v>6264</v>
      </c>
      <c r="C1416" s="5" t="s">
        <v>1397</v>
      </c>
      <c r="D1416" s="5" t="s">
        <v>6265</v>
      </c>
      <c r="E1416" s="5" t="s">
        <v>6262</v>
      </c>
      <c r="F1416" s="5">
        <v>26.8</v>
      </c>
      <c r="G1416" s="5">
        <v>161</v>
      </c>
    </row>
    <row r="1417" spans="1:7" ht="16.5">
      <c r="A1417" s="5" t="s">
        <v>6266</v>
      </c>
      <c r="B1417" s="10" t="s">
        <v>6267</v>
      </c>
      <c r="C1417" s="5" t="s">
        <v>1398</v>
      </c>
      <c r="D1417" s="5" t="s">
        <v>6268</v>
      </c>
      <c r="E1417" s="5" t="s">
        <v>6269</v>
      </c>
      <c r="F1417" s="5">
        <v>25.5</v>
      </c>
      <c r="G1417" s="5">
        <v>153</v>
      </c>
    </row>
    <row r="1418" spans="1:7" ht="16.5">
      <c r="A1418" s="5" t="s">
        <v>6270</v>
      </c>
      <c r="B1418" s="10" t="s">
        <v>6271</v>
      </c>
      <c r="C1418" s="5" t="s">
        <v>1399</v>
      </c>
      <c r="D1418" s="5" t="s">
        <v>6272</v>
      </c>
      <c r="E1418" s="5" t="s">
        <v>6269</v>
      </c>
      <c r="F1418" s="5">
        <v>29</v>
      </c>
      <c r="G1418" s="5">
        <v>174</v>
      </c>
    </row>
    <row r="1419" spans="1:7" ht="16.5">
      <c r="A1419" s="5" t="s">
        <v>6273</v>
      </c>
      <c r="B1419" s="10" t="s">
        <v>6274</v>
      </c>
      <c r="C1419" s="5" t="s">
        <v>1400</v>
      </c>
      <c r="D1419" s="5" t="s">
        <v>2236</v>
      </c>
      <c r="E1419" s="5" t="s">
        <v>6275</v>
      </c>
      <c r="F1419" s="5">
        <v>46.5</v>
      </c>
      <c r="G1419" s="5">
        <v>279</v>
      </c>
    </row>
    <row r="1420" spans="1:7" ht="16.5">
      <c r="A1420" s="5" t="s">
        <v>6276</v>
      </c>
      <c r="B1420" s="10" t="s">
        <v>6277</v>
      </c>
      <c r="C1420" s="5" t="s">
        <v>1401</v>
      </c>
      <c r="D1420" s="5" t="s">
        <v>2236</v>
      </c>
      <c r="E1420" s="5" t="s">
        <v>6278</v>
      </c>
      <c r="F1420" s="5">
        <v>55</v>
      </c>
      <c r="G1420" s="5">
        <v>330</v>
      </c>
    </row>
    <row r="1421" spans="1:7" ht="16.5">
      <c r="A1421" s="5" t="s">
        <v>6279</v>
      </c>
      <c r="B1421" s="10" t="s">
        <v>6280</v>
      </c>
      <c r="C1421" s="5" t="s">
        <v>1402</v>
      </c>
      <c r="D1421" s="5" t="s">
        <v>6281</v>
      </c>
      <c r="E1421" s="5" t="s">
        <v>6278</v>
      </c>
      <c r="F1421" s="5">
        <v>29</v>
      </c>
      <c r="G1421" s="5">
        <v>174</v>
      </c>
    </row>
    <row r="1422" spans="1:7" ht="16.5">
      <c r="A1422" s="5" t="s">
        <v>6282</v>
      </c>
      <c r="B1422" s="10" t="s">
        <v>6283</v>
      </c>
      <c r="C1422" s="5" t="s">
        <v>1403</v>
      </c>
      <c r="D1422" s="5" t="s">
        <v>6284</v>
      </c>
      <c r="E1422" s="5" t="s">
        <v>6278</v>
      </c>
      <c r="F1422" s="5">
        <v>48</v>
      </c>
      <c r="G1422" s="5">
        <v>288</v>
      </c>
    </row>
    <row r="1423" spans="1:7" ht="16.5">
      <c r="A1423" s="5" t="s">
        <v>6285</v>
      </c>
      <c r="B1423" s="10" t="s">
        <v>6286</v>
      </c>
      <c r="C1423" s="5" t="s">
        <v>1404</v>
      </c>
      <c r="D1423" s="5" t="s">
        <v>6287</v>
      </c>
      <c r="E1423" s="5" t="s">
        <v>6278</v>
      </c>
      <c r="F1423" s="5">
        <v>680</v>
      </c>
      <c r="G1423" s="5">
        <v>4080</v>
      </c>
    </row>
    <row r="1424" spans="1:7" ht="16.5">
      <c r="A1424" s="5" t="s">
        <v>6288</v>
      </c>
      <c r="B1424" s="10" t="s">
        <v>6289</v>
      </c>
      <c r="C1424" s="5" t="s">
        <v>1405</v>
      </c>
      <c r="D1424" s="5" t="s">
        <v>6290</v>
      </c>
      <c r="E1424" s="5" t="s">
        <v>6278</v>
      </c>
      <c r="F1424" s="5">
        <v>35</v>
      </c>
      <c r="G1424" s="5">
        <v>210</v>
      </c>
    </row>
    <row r="1425" spans="1:7" ht="16.5">
      <c r="A1425" s="5" t="s">
        <v>6291</v>
      </c>
      <c r="B1425" s="10" t="s">
        <v>6292</v>
      </c>
      <c r="C1425" s="5" t="s">
        <v>1406</v>
      </c>
      <c r="D1425" s="5" t="s">
        <v>6293</v>
      </c>
      <c r="E1425" s="5" t="s">
        <v>6278</v>
      </c>
      <c r="F1425" s="5">
        <v>35</v>
      </c>
      <c r="G1425" s="5">
        <v>210</v>
      </c>
    </row>
    <row r="1426" spans="1:7" ht="16.5">
      <c r="A1426" s="5" t="s">
        <v>6294</v>
      </c>
      <c r="B1426" s="10" t="s">
        <v>6295</v>
      </c>
      <c r="C1426" s="5" t="s">
        <v>1407</v>
      </c>
      <c r="D1426" s="5" t="s">
        <v>6296</v>
      </c>
      <c r="E1426" s="5" t="s">
        <v>6278</v>
      </c>
      <c r="F1426" s="5">
        <v>37</v>
      </c>
      <c r="G1426" s="5">
        <v>222</v>
      </c>
    </row>
    <row r="1427" spans="1:7" ht="16.5">
      <c r="A1427" s="5" t="s">
        <v>6297</v>
      </c>
      <c r="B1427" s="10" t="s">
        <v>6298</v>
      </c>
      <c r="C1427" s="5" t="s">
        <v>1408</v>
      </c>
      <c r="D1427" s="5" t="s">
        <v>6299</v>
      </c>
      <c r="E1427" s="5" t="s">
        <v>6300</v>
      </c>
      <c r="F1427" s="5">
        <v>28</v>
      </c>
      <c r="G1427" s="5">
        <v>168</v>
      </c>
    </row>
    <row r="1428" spans="1:7" ht="16.5">
      <c r="A1428" s="5" t="s">
        <v>6301</v>
      </c>
      <c r="B1428" s="10" t="s">
        <v>6302</v>
      </c>
      <c r="C1428" s="5" t="s">
        <v>1409</v>
      </c>
      <c r="D1428" s="5" t="s">
        <v>6303</v>
      </c>
      <c r="E1428" s="5" t="s">
        <v>6300</v>
      </c>
      <c r="F1428" s="5">
        <v>28</v>
      </c>
      <c r="G1428" s="5">
        <v>168</v>
      </c>
    </row>
    <row r="1429" spans="1:7" ht="16.5">
      <c r="A1429" s="5" t="s">
        <v>6304</v>
      </c>
      <c r="B1429" s="10" t="s">
        <v>6305</v>
      </c>
      <c r="C1429" s="5" t="s">
        <v>1410</v>
      </c>
      <c r="D1429" s="5" t="s">
        <v>6306</v>
      </c>
      <c r="E1429" s="5" t="s">
        <v>6300</v>
      </c>
      <c r="F1429" s="5">
        <v>30</v>
      </c>
      <c r="G1429" s="5">
        <v>180</v>
      </c>
    </row>
    <row r="1430" spans="1:7" ht="16.5">
      <c r="A1430" s="5" t="s">
        <v>6307</v>
      </c>
      <c r="B1430" s="10" t="s">
        <v>6308</v>
      </c>
      <c r="C1430" s="5" t="s">
        <v>1411</v>
      </c>
      <c r="D1430" s="5" t="s">
        <v>6306</v>
      </c>
      <c r="E1430" s="5" t="s">
        <v>6300</v>
      </c>
      <c r="F1430" s="5">
        <v>32</v>
      </c>
      <c r="G1430" s="5">
        <v>192</v>
      </c>
    </row>
    <row r="1431" spans="1:7" ht="16.5">
      <c r="A1431" s="5" t="s">
        <v>6309</v>
      </c>
      <c r="B1431" s="10" t="s">
        <v>6310</v>
      </c>
      <c r="C1431" s="5" t="s">
        <v>1412</v>
      </c>
      <c r="D1431" s="5" t="s">
        <v>6311</v>
      </c>
      <c r="E1431" s="5" t="s">
        <v>6300</v>
      </c>
      <c r="F1431" s="5">
        <v>25</v>
      </c>
      <c r="G1431" s="5">
        <v>150</v>
      </c>
    </row>
    <row r="1432" spans="1:7" ht="16.5">
      <c r="A1432" s="5" t="s">
        <v>6312</v>
      </c>
      <c r="B1432" s="10" t="s">
        <v>6313</v>
      </c>
      <c r="C1432" s="5" t="s">
        <v>1413</v>
      </c>
      <c r="D1432" s="5" t="s">
        <v>6314</v>
      </c>
      <c r="E1432" s="5" t="s">
        <v>6315</v>
      </c>
      <c r="F1432" s="5">
        <v>58</v>
      </c>
      <c r="G1432" s="5">
        <v>348</v>
      </c>
    </row>
    <row r="1433" spans="1:7" ht="16.5">
      <c r="A1433" s="5" t="s">
        <v>6316</v>
      </c>
      <c r="B1433" s="10" t="s">
        <v>6317</v>
      </c>
      <c r="C1433" s="5" t="s">
        <v>1414</v>
      </c>
      <c r="D1433" s="5" t="s">
        <v>6318</v>
      </c>
      <c r="E1433" s="5" t="s">
        <v>6319</v>
      </c>
      <c r="F1433" s="5">
        <v>16.8</v>
      </c>
      <c r="G1433" s="5">
        <v>101</v>
      </c>
    </row>
    <row r="1434" spans="1:7" ht="16.5">
      <c r="A1434" s="5" t="s">
        <v>6320</v>
      </c>
      <c r="B1434" s="10" t="s">
        <v>6321</v>
      </c>
      <c r="C1434" s="5" t="s">
        <v>1415</v>
      </c>
      <c r="D1434" s="5" t="s">
        <v>6322</v>
      </c>
      <c r="E1434" s="5" t="s">
        <v>6319</v>
      </c>
      <c r="F1434" s="5">
        <v>28</v>
      </c>
      <c r="G1434" s="5">
        <v>168</v>
      </c>
    </row>
    <row r="1435" spans="1:7" ht="16.5">
      <c r="A1435" s="5" t="s">
        <v>6323</v>
      </c>
      <c r="B1435" s="10" t="s">
        <v>6324</v>
      </c>
      <c r="C1435" s="5" t="s">
        <v>1416</v>
      </c>
      <c r="D1435" s="5" t="s">
        <v>6325</v>
      </c>
      <c r="E1435" s="5" t="s">
        <v>6326</v>
      </c>
      <c r="F1435" s="5">
        <v>26.8</v>
      </c>
      <c r="G1435" s="5">
        <v>161</v>
      </c>
    </row>
    <row r="1436" spans="1:7" ht="16.5">
      <c r="A1436" s="5" t="s">
        <v>6327</v>
      </c>
      <c r="B1436" s="10" t="s">
        <v>6328</v>
      </c>
      <c r="C1436" s="5" t="s">
        <v>1417</v>
      </c>
      <c r="D1436" s="5" t="s">
        <v>6329</v>
      </c>
      <c r="E1436" s="5" t="s">
        <v>6330</v>
      </c>
      <c r="F1436" s="5">
        <v>24.8</v>
      </c>
      <c r="G1436" s="5">
        <v>149</v>
      </c>
    </row>
    <row r="1437" spans="1:7" ht="16.5">
      <c r="A1437" s="5" t="s">
        <v>6331</v>
      </c>
      <c r="B1437" s="10" t="s">
        <v>6328</v>
      </c>
      <c r="C1437" s="5" t="s">
        <v>1418</v>
      </c>
      <c r="D1437" s="5" t="s">
        <v>6329</v>
      </c>
      <c r="E1437" s="5" t="s">
        <v>6330</v>
      </c>
      <c r="F1437" s="5">
        <v>24.8</v>
      </c>
      <c r="G1437" s="5">
        <v>149</v>
      </c>
    </row>
    <row r="1438" spans="1:7" ht="16.5">
      <c r="A1438" s="5" t="s">
        <v>6332</v>
      </c>
      <c r="B1438" s="10" t="s">
        <v>6333</v>
      </c>
      <c r="C1438" s="5" t="s">
        <v>1419</v>
      </c>
      <c r="D1438" s="5" t="s">
        <v>6334</v>
      </c>
      <c r="E1438" s="5" t="s">
        <v>6335</v>
      </c>
      <c r="F1438" s="5">
        <v>26</v>
      </c>
      <c r="G1438" s="5">
        <v>156</v>
      </c>
    </row>
    <row r="1439" spans="1:7" ht="16.5">
      <c r="A1439" s="5" t="s">
        <v>6336</v>
      </c>
      <c r="B1439" s="10" t="s">
        <v>6337</v>
      </c>
      <c r="C1439" s="5" t="s">
        <v>1420</v>
      </c>
      <c r="D1439" s="5" t="s">
        <v>6338</v>
      </c>
      <c r="E1439" s="5" t="s">
        <v>6335</v>
      </c>
      <c r="F1439" s="5">
        <v>38</v>
      </c>
      <c r="G1439" s="5">
        <v>228</v>
      </c>
    </row>
    <row r="1440" spans="1:7" ht="16.5">
      <c r="A1440" s="5" t="s">
        <v>6339</v>
      </c>
      <c r="B1440" s="10" t="s">
        <v>6340</v>
      </c>
      <c r="C1440" s="5" t="s">
        <v>1421</v>
      </c>
      <c r="D1440" s="5" t="s">
        <v>6341</v>
      </c>
      <c r="E1440" s="5" t="s">
        <v>6335</v>
      </c>
      <c r="F1440" s="5">
        <v>38</v>
      </c>
      <c r="G1440" s="5">
        <v>228</v>
      </c>
    </row>
    <row r="1441" spans="1:7" ht="16.5">
      <c r="A1441" s="5" t="s">
        <v>6342</v>
      </c>
      <c r="B1441" s="10" t="s">
        <v>6343</v>
      </c>
      <c r="C1441" s="5" t="s">
        <v>1422</v>
      </c>
      <c r="D1441" s="5" t="s">
        <v>6344</v>
      </c>
      <c r="E1441" s="5" t="s">
        <v>6335</v>
      </c>
      <c r="F1441" s="5">
        <v>38</v>
      </c>
      <c r="G1441" s="5">
        <v>228</v>
      </c>
    </row>
    <row r="1442" spans="1:7" ht="16.5">
      <c r="A1442" s="5" t="s">
        <v>6345</v>
      </c>
      <c r="B1442" s="10" t="s">
        <v>6346</v>
      </c>
      <c r="C1442" s="5" t="s">
        <v>1423</v>
      </c>
      <c r="D1442" s="5" t="s">
        <v>6347</v>
      </c>
      <c r="E1442" s="5" t="s">
        <v>6335</v>
      </c>
      <c r="F1442" s="5">
        <v>38</v>
      </c>
      <c r="G1442" s="5">
        <v>228</v>
      </c>
    </row>
    <row r="1443" spans="1:7" ht="16.5">
      <c r="A1443" s="5" t="s">
        <v>6348</v>
      </c>
      <c r="B1443" s="10" t="s">
        <v>6349</v>
      </c>
      <c r="C1443" s="5" t="s">
        <v>1424</v>
      </c>
      <c r="D1443" s="5" t="s">
        <v>3297</v>
      </c>
      <c r="E1443" s="5" t="s">
        <v>6350</v>
      </c>
      <c r="F1443" s="5">
        <v>38</v>
      </c>
      <c r="G1443" s="5">
        <v>228</v>
      </c>
    </row>
    <row r="1444" spans="1:7" ht="16.5">
      <c r="A1444" s="5" t="s">
        <v>6351</v>
      </c>
      <c r="B1444" s="10" t="s">
        <v>6352</v>
      </c>
      <c r="C1444" s="5" t="s">
        <v>1425</v>
      </c>
      <c r="D1444" s="5" t="s">
        <v>3297</v>
      </c>
      <c r="E1444" s="5" t="s">
        <v>6350</v>
      </c>
      <c r="F1444" s="5">
        <v>18</v>
      </c>
      <c r="G1444" s="5">
        <v>108</v>
      </c>
    </row>
    <row r="1445" spans="1:7" ht="16.5">
      <c r="A1445" s="5" t="s">
        <v>6353</v>
      </c>
      <c r="B1445" s="10" t="s">
        <v>6354</v>
      </c>
      <c r="C1445" s="5" t="s">
        <v>1426</v>
      </c>
      <c r="D1445" s="5" t="s">
        <v>6355</v>
      </c>
      <c r="E1445" s="5" t="s">
        <v>6356</v>
      </c>
      <c r="F1445" s="5">
        <v>25</v>
      </c>
      <c r="G1445" s="5">
        <v>150</v>
      </c>
    </row>
    <row r="1446" spans="1:7" ht="16.5">
      <c r="A1446" s="5" t="s">
        <v>6357</v>
      </c>
      <c r="B1446" s="10" t="s">
        <v>6358</v>
      </c>
      <c r="C1446" s="5" t="s">
        <v>1427</v>
      </c>
      <c r="D1446" s="5" t="s">
        <v>6359</v>
      </c>
      <c r="E1446" s="5" t="s">
        <v>6356</v>
      </c>
      <c r="F1446" s="5">
        <v>39</v>
      </c>
      <c r="G1446" s="5">
        <v>234</v>
      </c>
    </row>
    <row r="1447" spans="1:7" ht="16.5">
      <c r="A1447" s="5" t="s">
        <v>6360</v>
      </c>
      <c r="B1447" s="10" t="s">
        <v>6361</v>
      </c>
      <c r="C1447" s="5" t="s">
        <v>1428</v>
      </c>
      <c r="D1447" s="5" t="s">
        <v>2337</v>
      </c>
      <c r="E1447" s="5" t="s">
        <v>6356</v>
      </c>
      <c r="F1447" s="5">
        <v>39</v>
      </c>
      <c r="G1447" s="5">
        <v>228</v>
      </c>
    </row>
    <row r="1448" spans="1:7" ht="16.5">
      <c r="A1448" s="5" t="s">
        <v>6362</v>
      </c>
      <c r="B1448" s="10" t="s">
        <v>6363</v>
      </c>
      <c r="C1448" s="5" t="s">
        <v>1429</v>
      </c>
      <c r="D1448" s="5" t="s">
        <v>6364</v>
      </c>
      <c r="E1448" s="5" t="s">
        <v>6356</v>
      </c>
      <c r="F1448" s="5">
        <v>23</v>
      </c>
      <c r="G1448" s="5">
        <v>138</v>
      </c>
    </row>
    <row r="1449" spans="1:7" ht="16.5">
      <c r="A1449" s="5" t="s">
        <v>6365</v>
      </c>
      <c r="B1449" s="10" t="s">
        <v>6366</v>
      </c>
      <c r="C1449" s="5" t="s">
        <v>1430</v>
      </c>
      <c r="D1449" s="5" t="s">
        <v>6367</v>
      </c>
      <c r="E1449" s="5" t="s">
        <v>6356</v>
      </c>
      <c r="F1449" s="5">
        <v>20</v>
      </c>
      <c r="G1449" s="5">
        <v>120</v>
      </c>
    </row>
    <row r="1450" spans="1:7" ht="16.5">
      <c r="A1450" s="5" t="s">
        <v>6368</v>
      </c>
      <c r="B1450" s="10" t="s">
        <v>6369</v>
      </c>
      <c r="C1450" s="5" t="s">
        <v>1431</v>
      </c>
      <c r="D1450" s="5" t="s">
        <v>6370</v>
      </c>
      <c r="E1450" s="5" t="s">
        <v>6356</v>
      </c>
      <c r="F1450" s="5">
        <v>68</v>
      </c>
      <c r="G1450" s="5">
        <v>408</v>
      </c>
    </row>
    <row r="1451" spans="1:7" ht="16.5">
      <c r="A1451" s="5" t="s">
        <v>6371</v>
      </c>
      <c r="B1451" s="10" t="s">
        <v>6372</v>
      </c>
      <c r="C1451" s="5" t="s">
        <v>6373</v>
      </c>
      <c r="D1451" s="5" t="s">
        <v>6374</v>
      </c>
      <c r="E1451" s="5" t="s">
        <v>6356</v>
      </c>
      <c r="F1451" s="5">
        <v>20</v>
      </c>
      <c r="G1451" s="5">
        <v>120</v>
      </c>
    </row>
    <row r="1452" spans="1:7" ht="16.5">
      <c r="A1452" s="5" t="s">
        <v>6375</v>
      </c>
      <c r="B1452" s="10" t="s">
        <v>6376</v>
      </c>
      <c r="C1452" s="5" t="s">
        <v>1432</v>
      </c>
      <c r="D1452" s="5" t="s">
        <v>6377</v>
      </c>
      <c r="E1452" s="5" t="s">
        <v>6356</v>
      </c>
      <c r="F1452" s="5">
        <v>28</v>
      </c>
      <c r="G1452" s="5">
        <v>168</v>
      </c>
    </row>
    <row r="1453" spans="1:7" ht="16.5">
      <c r="A1453" s="5" t="s">
        <v>6378</v>
      </c>
      <c r="B1453" s="10" t="s">
        <v>6379</v>
      </c>
      <c r="C1453" s="5" t="s">
        <v>1433</v>
      </c>
      <c r="D1453" s="5" t="s">
        <v>6380</v>
      </c>
      <c r="E1453" s="5" t="s">
        <v>6381</v>
      </c>
      <c r="F1453" s="5">
        <v>30</v>
      </c>
      <c r="G1453" s="5">
        <v>180</v>
      </c>
    </row>
    <row r="1454" spans="1:7" ht="16.5">
      <c r="A1454" s="5" t="s">
        <v>6382</v>
      </c>
      <c r="B1454" s="10" t="s">
        <v>6383</v>
      </c>
      <c r="C1454" s="5" t="s">
        <v>1434</v>
      </c>
      <c r="D1454" s="5" t="s">
        <v>6380</v>
      </c>
      <c r="E1454" s="5" t="s">
        <v>6381</v>
      </c>
      <c r="F1454" s="5">
        <v>29</v>
      </c>
      <c r="G1454" s="5">
        <v>174</v>
      </c>
    </row>
    <row r="1455" spans="1:7" ht="16.5">
      <c r="A1455" s="5" t="s">
        <v>6384</v>
      </c>
      <c r="B1455" s="10" t="s">
        <v>6385</v>
      </c>
      <c r="C1455" s="5" t="s">
        <v>1435</v>
      </c>
      <c r="D1455" s="5" t="s">
        <v>6380</v>
      </c>
      <c r="E1455" s="5" t="s">
        <v>6381</v>
      </c>
      <c r="F1455" s="5">
        <v>31</v>
      </c>
      <c r="G1455" s="5">
        <v>186</v>
      </c>
    </row>
    <row r="1456" spans="1:7" ht="16.5">
      <c r="A1456" s="5" t="s">
        <v>6386</v>
      </c>
      <c r="B1456" s="10" t="s">
        <v>6387</v>
      </c>
      <c r="C1456" s="5" t="s">
        <v>1436</v>
      </c>
      <c r="D1456" s="5" t="s">
        <v>6380</v>
      </c>
      <c r="E1456" s="5" t="s">
        <v>6381</v>
      </c>
      <c r="F1456" s="5">
        <v>30</v>
      </c>
      <c r="G1456" s="5">
        <v>180</v>
      </c>
    </row>
    <row r="1457" spans="1:7" ht="16.5">
      <c r="A1457" s="5" t="s">
        <v>6388</v>
      </c>
      <c r="B1457" s="10" t="s">
        <v>6389</v>
      </c>
      <c r="C1457" s="5" t="s">
        <v>1437</v>
      </c>
      <c r="D1457" s="5" t="s">
        <v>6390</v>
      </c>
      <c r="E1457" s="5" t="s">
        <v>6381</v>
      </c>
      <c r="F1457" s="5">
        <v>32</v>
      </c>
      <c r="G1457" s="5">
        <v>192</v>
      </c>
    </row>
    <row r="1458" spans="1:7" ht="16.5">
      <c r="A1458" s="5" t="s">
        <v>6391</v>
      </c>
      <c r="B1458" s="10" t="s">
        <v>6392</v>
      </c>
      <c r="C1458" s="5" t="s">
        <v>1438</v>
      </c>
      <c r="D1458" s="5" t="s">
        <v>6393</v>
      </c>
      <c r="E1458" s="5" t="s">
        <v>6381</v>
      </c>
      <c r="F1458" s="5">
        <v>26</v>
      </c>
      <c r="G1458" s="5">
        <v>156</v>
      </c>
    </row>
    <row r="1459" spans="1:7" ht="16.5">
      <c r="A1459" s="5" t="s">
        <v>6394</v>
      </c>
      <c r="B1459" s="10" t="s">
        <v>6395</v>
      </c>
      <c r="C1459" s="5" t="s">
        <v>1439</v>
      </c>
      <c r="D1459" s="5" t="s">
        <v>6396</v>
      </c>
      <c r="E1459" s="5" t="s">
        <v>6381</v>
      </c>
      <c r="F1459" s="5">
        <v>22.8</v>
      </c>
      <c r="G1459" s="5">
        <v>137</v>
      </c>
    </row>
    <row r="1460" spans="1:7" ht="16.5">
      <c r="A1460" s="5" t="s">
        <v>6397</v>
      </c>
      <c r="B1460" s="10" t="s">
        <v>6398</v>
      </c>
      <c r="C1460" s="5" t="s">
        <v>1440</v>
      </c>
      <c r="D1460" s="5" t="s">
        <v>2236</v>
      </c>
      <c r="E1460" s="5" t="s">
        <v>6399</v>
      </c>
      <c r="F1460" s="5">
        <v>19</v>
      </c>
      <c r="G1460" s="5">
        <v>114</v>
      </c>
    </row>
    <row r="1461" spans="1:7" ht="16.5">
      <c r="A1461" s="5" t="s">
        <v>6400</v>
      </c>
      <c r="B1461" s="10" t="s">
        <v>6401</v>
      </c>
      <c r="C1461" s="5" t="s">
        <v>1441</v>
      </c>
      <c r="D1461" s="5" t="s">
        <v>6402</v>
      </c>
      <c r="E1461" s="5" t="s">
        <v>6403</v>
      </c>
      <c r="F1461" s="5">
        <v>18</v>
      </c>
      <c r="G1461" s="5">
        <v>108</v>
      </c>
    </row>
    <row r="1462" spans="1:7" ht="16.5">
      <c r="A1462" s="5" t="s">
        <v>6404</v>
      </c>
      <c r="B1462" s="10" t="s">
        <v>6405</v>
      </c>
      <c r="C1462" s="5" t="s">
        <v>1442</v>
      </c>
      <c r="D1462" s="5" t="s">
        <v>6406</v>
      </c>
      <c r="E1462" s="5" t="s">
        <v>6407</v>
      </c>
      <c r="F1462" s="5">
        <v>26.1</v>
      </c>
      <c r="G1462" s="5">
        <v>157</v>
      </c>
    </row>
    <row r="1463" spans="1:7" ht="16.5">
      <c r="A1463" s="5" t="s">
        <v>6408</v>
      </c>
      <c r="B1463" s="10" t="s">
        <v>6409</v>
      </c>
      <c r="C1463" s="5" t="s">
        <v>1443</v>
      </c>
      <c r="D1463" s="5" t="s">
        <v>6410</v>
      </c>
      <c r="E1463" s="5" t="s">
        <v>6407</v>
      </c>
      <c r="F1463" s="5">
        <v>24</v>
      </c>
      <c r="G1463" s="5">
        <v>144</v>
      </c>
    </row>
    <row r="1464" spans="1:7" ht="16.5">
      <c r="A1464" s="5" t="s">
        <v>6411</v>
      </c>
      <c r="B1464" s="10" t="s">
        <v>6412</v>
      </c>
      <c r="C1464" s="5" t="s">
        <v>1444</v>
      </c>
      <c r="D1464" s="5" t="s">
        <v>6413</v>
      </c>
      <c r="E1464" s="5" t="s">
        <v>6407</v>
      </c>
      <c r="F1464" s="5">
        <v>30.3</v>
      </c>
      <c r="G1464" s="5">
        <v>182</v>
      </c>
    </row>
    <row r="1465" spans="1:7" ht="16.5">
      <c r="A1465" s="5" t="s">
        <v>6414</v>
      </c>
      <c r="B1465" s="10" t="s">
        <v>6415</v>
      </c>
      <c r="C1465" s="5" t="s">
        <v>1445</v>
      </c>
      <c r="D1465" s="5" t="s">
        <v>6416</v>
      </c>
      <c r="E1465" s="5" t="s">
        <v>6407</v>
      </c>
      <c r="F1465" s="5">
        <v>28.4</v>
      </c>
      <c r="G1465" s="5">
        <v>170</v>
      </c>
    </row>
    <row r="1466" spans="1:7" ht="16.5">
      <c r="A1466" s="5" t="s">
        <v>6417</v>
      </c>
      <c r="B1466" s="10" t="s">
        <v>6418</v>
      </c>
      <c r="C1466" s="5" t="s">
        <v>1446</v>
      </c>
      <c r="D1466" s="5" t="s">
        <v>6419</v>
      </c>
      <c r="E1466" s="5" t="s">
        <v>6407</v>
      </c>
      <c r="F1466" s="5">
        <v>29</v>
      </c>
      <c r="G1466" s="5">
        <v>174</v>
      </c>
    </row>
    <row r="1467" spans="1:7" ht="16.5">
      <c r="A1467" s="5" t="s">
        <v>6420</v>
      </c>
      <c r="B1467" s="10" t="s">
        <v>6421</v>
      </c>
      <c r="C1467" s="5" t="s">
        <v>1447</v>
      </c>
      <c r="D1467" s="5" t="s">
        <v>6422</v>
      </c>
      <c r="E1467" s="5" t="s">
        <v>6407</v>
      </c>
      <c r="F1467" s="5">
        <v>22.8</v>
      </c>
      <c r="G1467" s="5">
        <v>137</v>
      </c>
    </row>
    <row r="1468" spans="1:7" ht="16.5">
      <c r="A1468" s="5" t="s">
        <v>6423</v>
      </c>
      <c r="B1468" s="10" t="s">
        <v>6424</v>
      </c>
      <c r="C1468" s="5" t="s">
        <v>1448</v>
      </c>
      <c r="D1468" s="5" t="s">
        <v>6410</v>
      </c>
      <c r="E1468" s="5" t="s">
        <v>6407</v>
      </c>
      <c r="F1468" s="5">
        <v>29.2</v>
      </c>
      <c r="G1468" s="5">
        <v>175</v>
      </c>
    </row>
    <row r="1469" spans="1:7" ht="16.5">
      <c r="A1469" s="5" t="s">
        <v>6425</v>
      </c>
      <c r="B1469" s="10" t="s">
        <v>6426</v>
      </c>
      <c r="C1469" s="5" t="s">
        <v>1449</v>
      </c>
      <c r="D1469" s="5" t="s">
        <v>6427</v>
      </c>
      <c r="E1469" s="5" t="s">
        <v>6407</v>
      </c>
      <c r="F1469" s="5">
        <v>30.8</v>
      </c>
      <c r="G1469" s="5">
        <v>185</v>
      </c>
    </row>
    <row r="1470" spans="1:7" ht="16.5">
      <c r="A1470" s="5" t="s">
        <v>6428</v>
      </c>
      <c r="B1470" s="10" t="s">
        <v>6429</v>
      </c>
      <c r="C1470" s="5" t="s">
        <v>1450</v>
      </c>
      <c r="D1470" s="5" t="s">
        <v>6430</v>
      </c>
      <c r="E1470" s="5" t="s">
        <v>6407</v>
      </c>
      <c r="F1470" s="5">
        <v>128</v>
      </c>
      <c r="G1470" s="5">
        <v>768</v>
      </c>
    </row>
    <row r="1471" spans="1:7" ht="16.5">
      <c r="A1471" s="5" t="s">
        <v>6431</v>
      </c>
      <c r="B1471" s="10" t="s">
        <v>6432</v>
      </c>
      <c r="C1471" s="5" t="s">
        <v>1451</v>
      </c>
      <c r="D1471" s="5" t="s">
        <v>6433</v>
      </c>
      <c r="E1471" s="5" t="s">
        <v>6407</v>
      </c>
      <c r="F1471" s="5">
        <v>58</v>
      </c>
      <c r="G1471" s="5">
        <v>348</v>
      </c>
    </row>
    <row r="1472" spans="1:7" ht="16.5">
      <c r="A1472" s="5" t="s">
        <v>6434</v>
      </c>
      <c r="B1472" s="10" t="s">
        <v>6435</v>
      </c>
      <c r="C1472" s="5" t="s">
        <v>1452</v>
      </c>
      <c r="D1472" s="5" t="s">
        <v>6436</v>
      </c>
      <c r="E1472" s="5" t="s">
        <v>6437</v>
      </c>
      <c r="F1472" s="5">
        <v>58</v>
      </c>
      <c r="G1472" s="5">
        <v>348</v>
      </c>
    </row>
    <row r="1473" spans="1:7" ht="16.5">
      <c r="A1473" s="5" t="s">
        <v>6438</v>
      </c>
      <c r="B1473" s="10" t="s">
        <v>6439</v>
      </c>
      <c r="C1473" s="5" t="s">
        <v>1453</v>
      </c>
      <c r="D1473" s="5" t="s">
        <v>6440</v>
      </c>
      <c r="E1473" s="5" t="s">
        <v>6407</v>
      </c>
      <c r="F1473" s="5">
        <v>48</v>
      </c>
      <c r="G1473" s="5">
        <v>288</v>
      </c>
    </row>
    <row r="1474" spans="1:7" ht="16.5">
      <c r="A1474" s="5" t="s">
        <v>6441</v>
      </c>
      <c r="B1474" s="10" t="s">
        <v>6442</v>
      </c>
      <c r="C1474" s="5" t="s">
        <v>1454</v>
      </c>
      <c r="D1474" s="5" t="s">
        <v>6443</v>
      </c>
      <c r="E1474" s="5" t="s">
        <v>6444</v>
      </c>
      <c r="F1474" s="5">
        <v>28</v>
      </c>
      <c r="G1474" s="5">
        <v>168</v>
      </c>
    </row>
    <row r="1475" spans="1:7" ht="16.5">
      <c r="A1475" s="5" t="s">
        <v>6445</v>
      </c>
      <c r="B1475" s="10" t="s">
        <v>6446</v>
      </c>
      <c r="C1475" s="5" t="s">
        <v>1455</v>
      </c>
      <c r="D1475" s="5" t="s">
        <v>6447</v>
      </c>
      <c r="E1475" s="5" t="s">
        <v>6444</v>
      </c>
      <c r="F1475" s="5">
        <v>32</v>
      </c>
      <c r="G1475" s="5">
        <v>192</v>
      </c>
    </row>
    <row r="1476" spans="1:7" ht="16.5">
      <c r="A1476" s="5" t="s">
        <v>6448</v>
      </c>
      <c r="B1476" s="10" t="s">
        <v>6449</v>
      </c>
      <c r="C1476" s="5" t="s">
        <v>1456</v>
      </c>
      <c r="D1476" s="5" t="s">
        <v>6450</v>
      </c>
      <c r="E1476" s="5" t="s">
        <v>6444</v>
      </c>
      <c r="F1476" s="5">
        <v>32</v>
      </c>
      <c r="G1476" s="5">
        <v>192</v>
      </c>
    </row>
    <row r="1477" spans="1:7" ht="16.5">
      <c r="A1477" s="5" t="s">
        <v>6451</v>
      </c>
      <c r="B1477" s="10" t="s">
        <v>6452</v>
      </c>
      <c r="C1477" s="5" t="s">
        <v>1457</v>
      </c>
      <c r="D1477" s="5" t="s">
        <v>6453</v>
      </c>
      <c r="E1477" s="5" t="s">
        <v>6444</v>
      </c>
      <c r="F1477" s="5">
        <v>38</v>
      </c>
      <c r="G1477" s="5">
        <v>228</v>
      </c>
    </row>
    <row r="1478" spans="1:7" ht="16.5">
      <c r="A1478" s="5" t="s">
        <v>6454</v>
      </c>
      <c r="B1478" s="10" t="s">
        <v>6455</v>
      </c>
      <c r="C1478" s="5" t="s">
        <v>1458</v>
      </c>
      <c r="D1478" s="5" t="s">
        <v>6456</v>
      </c>
      <c r="E1478" s="5" t="s">
        <v>6457</v>
      </c>
      <c r="F1478" s="5">
        <v>16</v>
      </c>
      <c r="G1478" s="5">
        <v>96</v>
      </c>
    </row>
    <row r="1479" spans="1:7" ht="16.5">
      <c r="A1479" s="5" t="s">
        <v>6458</v>
      </c>
      <c r="B1479" s="10" t="s">
        <v>6459</v>
      </c>
      <c r="C1479" s="5" t="s">
        <v>1459</v>
      </c>
      <c r="D1479" s="5" t="s">
        <v>6456</v>
      </c>
      <c r="E1479" s="5" t="s">
        <v>6457</v>
      </c>
      <c r="F1479" s="5">
        <v>16</v>
      </c>
      <c r="G1479" s="5">
        <v>96</v>
      </c>
    </row>
    <row r="1480" spans="1:7" ht="16.5">
      <c r="A1480" s="5" t="s">
        <v>6460</v>
      </c>
      <c r="B1480" s="10" t="s">
        <v>6461</v>
      </c>
      <c r="C1480" s="5" t="s">
        <v>1460</v>
      </c>
      <c r="D1480" s="5" t="s">
        <v>6456</v>
      </c>
      <c r="E1480" s="5" t="s">
        <v>6457</v>
      </c>
      <c r="F1480" s="5">
        <v>16</v>
      </c>
      <c r="G1480" s="5">
        <v>96</v>
      </c>
    </row>
    <row r="1481" spans="1:7" ht="16.5">
      <c r="A1481" s="5" t="s">
        <v>6462</v>
      </c>
      <c r="B1481" s="10" t="s">
        <v>6463</v>
      </c>
      <c r="C1481" s="5" t="s">
        <v>1461</v>
      </c>
      <c r="D1481" s="5" t="s">
        <v>6464</v>
      </c>
      <c r="E1481" s="5" t="s">
        <v>6465</v>
      </c>
      <c r="F1481" s="5">
        <v>24.8</v>
      </c>
      <c r="G1481" s="5">
        <v>149</v>
      </c>
    </row>
    <row r="1482" spans="1:7" ht="16.5">
      <c r="A1482" s="5" t="s">
        <v>6466</v>
      </c>
      <c r="B1482" s="10" t="s">
        <v>6467</v>
      </c>
      <c r="C1482" s="5" t="s">
        <v>1462</v>
      </c>
      <c r="D1482" s="5" t="s">
        <v>6468</v>
      </c>
      <c r="E1482" s="5" t="s">
        <v>6329</v>
      </c>
      <c r="F1482" s="5">
        <v>25</v>
      </c>
      <c r="G1482" s="5">
        <v>150</v>
      </c>
    </row>
    <row r="1483" spans="1:7" ht="16.5">
      <c r="A1483" s="5" t="s">
        <v>6469</v>
      </c>
      <c r="B1483" s="10" t="s">
        <v>6470</v>
      </c>
      <c r="C1483" s="5" t="s">
        <v>1463</v>
      </c>
      <c r="D1483" s="5" t="s">
        <v>6471</v>
      </c>
      <c r="E1483" s="5" t="s">
        <v>6472</v>
      </c>
      <c r="F1483" s="5">
        <v>28</v>
      </c>
      <c r="G1483" s="5">
        <v>168</v>
      </c>
    </row>
    <row r="1484" spans="1:7" ht="16.5">
      <c r="A1484" s="5" t="s">
        <v>6473</v>
      </c>
      <c r="B1484" s="10" t="s">
        <v>6474</v>
      </c>
      <c r="C1484" s="5" t="s">
        <v>1464</v>
      </c>
      <c r="D1484" s="5" t="s">
        <v>2607</v>
      </c>
      <c r="E1484" s="5" t="s">
        <v>6475</v>
      </c>
      <c r="F1484" s="5">
        <v>98</v>
      </c>
      <c r="G1484" s="5">
        <v>588</v>
      </c>
    </row>
    <row r="1485" spans="1:7" ht="16.5">
      <c r="A1485" s="5" t="s">
        <v>6476</v>
      </c>
      <c r="B1485" s="10" t="s">
        <v>6477</v>
      </c>
      <c r="C1485" s="5" t="s">
        <v>1465</v>
      </c>
      <c r="D1485" s="5" t="s">
        <v>2607</v>
      </c>
      <c r="E1485" s="5" t="s">
        <v>6475</v>
      </c>
      <c r="F1485" s="5">
        <v>38</v>
      </c>
      <c r="G1485" s="5">
        <v>228</v>
      </c>
    </row>
    <row r="1486" spans="1:7" ht="16.5">
      <c r="A1486" s="5" t="s">
        <v>6478</v>
      </c>
      <c r="B1486" s="10" t="s">
        <v>6479</v>
      </c>
      <c r="C1486" s="5" t="s">
        <v>1466</v>
      </c>
      <c r="D1486" s="5" t="s">
        <v>6480</v>
      </c>
      <c r="E1486" s="5" t="s">
        <v>6481</v>
      </c>
      <c r="F1486" s="5">
        <v>27</v>
      </c>
      <c r="G1486" s="5">
        <v>162</v>
      </c>
    </row>
    <row r="1487" spans="1:7" ht="16.5">
      <c r="A1487" s="5" t="s">
        <v>6482</v>
      </c>
      <c r="B1487" s="10" t="s">
        <v>6483</v>
      </c>
      <c r="C1487" s="5" t="s">
        <v>1467</v>
      </c>
      <c r="D1487" s="5" t="s">
        <v>6484</v>
      </c>
      <c r="E1487" s="5" t="s">
        <v>6481</v>
      </c>
      <c r="F1487" s="5">
        <v>28</v>
      </c>
      <c r="G1487" s="5">
        <v>168</v>
      </c>
    </row>
    <row r="1488" spans="1:7" ht="16.5">
      <c r="A1488" s="5" t="s">
        <v>6485</v>
      </c>
      <c r="B1488" s="10" t="s">
        <v>6486</v>
      </c>
      <c r="C1488" s="5" t="s">
        <v>1468</v>
      </c>
      <c r="D1488" s="5" t="s">
        <v>6487</v>
      </c>
      <c r="E1488" s="5" t="s">
        <v>6481</v>
      </c>
      <c r="F1488" s="5">
        <v>29</v>
      </c>
      <c r="G1488" s="5">
        <v>174</v>
      </c>
    </row>
    <row r="1489" spans="1:7" ht="16.5">
      <c r="A1489" s="5" t="s">
        <v>6488</v>
      </c>
      <c r="B1489" s="10" t="s">
        <v>6489</v>
      </c>
      <c r="C1489" s="5" t="s">
        <v>1469</v>
      </c>
      <c r="D1489" s="5" t="s">
        <v>6490</v>
      </c>
      <c r="E1489" s="5" t="s">
        <v>6481</v>
      </c>
      <c r="F1489" s="5">
        <v>23</v>
      </c>
      <c r="G1489" s="5">
        <v>138</v>
      </c>
    </row>
    <row r="1490" spans="1:7" ht="16.5">
      <c r="A1490" s="5" t="s">
        <v>6491</v>
      </c>
      <c r="B1490" s="10" t="s">
        <v>6492</v>
      </c>
      <c r="C1490" s="5" t="s">
        <v>1470</v>
      </c>
      <c r="D1490" s="5" t="s">
        <v>6493</v>
      </c>
      <c r="E1490" s="5" t="s">
        <v>6494</v>
      </c>
      <c r="F1490" s="5">
        <v>28</v>
      </c>
      <c r="G1490" s="5">
        <v>168</v>
      </c>
    </row>
    <row r="1491" spans="1:7" ht="16.5">
      <c r="A1491" s="5" t="s">
        <v>6495</v>
      </c>
      <c r="B1491" s="10" t="s">
        <v>6496</v>
      </c>
      <c r="C1491" s="5" t="s">
        <v>1471</v>
      </c>
      <c r="D1491" s="5" t="s">
        <v>6497</v>
      </c>
      <c r="E1491" s="5" t="s">
        <v>6498</v>
      </c>
      <c r="F1491" s="5">
        <v>18</v>
      </c>
      <c r="G1491" s="5">
        <v>108</v>
      </c>
    </row>
    <row r="1492" spans="1:7" ht="16.5">
      <c r="A1492" s="5" t="s">
        <v>6499</v>
      </c>
      <c r="B1492" s="10" t="s">
        <v>6500</v>
      </c>
      <c r="C1492" s="5" t="s">
        <v>1472</v>
      </c>
      <c r="D1492" s="5" t="s">
        <v>6501</v>
      </c>
      <c r="E1492" s="5" t="s">
        <v>6494</v>
      </c>
      <c r="F1492" s="5">
        <v>28</v>
      </c>
      <c r="G1492" s="5">
        <v>168</v>
      </c>
    </row>
    <row r="1493" spans="1:7" ht="16.5">
      <c r="A1493" s="5" t="s">
        <v>6502</v>
      </c>
      <c r="B1493" s="10" t="s">
        <v>6503</v>
      </c>
      <c r="C1493" s="5" t="s">
        <v>1473</v>
      </c>
      <c r="D1493" s="5" t="s">
        <v>6504</v>
      </c>
      <c r="E1493" s="5" t="s">
        <v>6494</v>
      </c>
      <c r="F1493" s="5">
        <v>28</v>
      </c>
      <c r="G1493" s="5">
        <v>168</v>
      </c>
    </row>
    <row r="1494" spans="1:7" ht="16.5">
      <c r="A1494" s="5" t="s">
        <v>6505</v>
      </c>
      <c r="B1494" s="10" t="s">
        <v>6506</v>
      </c>
      <c r="C1494" s="5" t="s">
        <v>1474</v>
      </c>
      <c r="D1494" s="5" t="s">
        <v>6493</v>
      </c>
      <c r="E1494" s="5" t="s">
        <v>6494</v>
      </c>
      <c r="F1494" s="5">
        <v>28</v>
      </c>
      <c r="G1494" s="5">
        <v>168</v>
      </c>
    </row>
    <row r="1495" spans="1:7" ht="16.5">
      <c r="A1495" s="5" t="s">
        <v>6507</v>
      </c>
      <c r="B1495" s="10" t="s">
        <v>6508</v>
      </c>
      <c r="C1495" s="5" t="s">
        <v>1475</v>
      </c>
      <c r="D1495" s="5" t="s">
        <v>2236</v>
      </c>
      <c r="E1495" s="5" t="s">
        <v>6509</v>
      </c>
      <c r="F1495" s="5">
        <v>20</v>
      </c>
      <c r="G1495" s="5">
        <v>120</v>
      </c>
    </row>
    <row r="1496" spans="1:7" ht="16.5">
      <c r="A1496" s="5" t="s">
        <v>6510</v>
      </c>
      <c r="B1496" s="10" t="s">
        <v>6511</v>
      </c>
      <c r="C1496" s="5" t="s">
        <v>1476</v>
      </c>
      <c r="D1496" s="5" t="s">
        <v>6512</v>
      </c>
      <c r="E1496" s="5" t="s">
        <v>4388</v>
      </c>
      <c r="F1496" s="5">
        <v>29</v>
      </c>
      <c r="G1496" s="5">
        <v>174</v>
      </c>
    </row>
    <row r="1497" spans="1:7" ht="16.5">
      <c r="A1497" s="5" t="s">
        <v>6513</v>
      </c>
      <c r="B1497" s="10" t="s">
        <v>6514</v>
      </c>
      <c r="C1497" s="5" t="s">
        <v>1477</v>
      </c>
      <c r="D1497" s="5" t="s">
        <v>6515</v>
      </c>
      <c r="E1497" s="5" t="s">
        <v>6516</v>
      </c>
      <c r="F1497" s="5">
        <v>40</v>
      </c>
      <c r="G1497" s="5">
        <v>240</v>
      </c>
    </row>
    <row r="1498" spans="1:7" ht="16.5">
      <c r="A1498" s="5" t="s">
        <v>6517</v>
      </c>
      <c r="B1498" s="10" t="s">
        <v>6518</v>
      </c>
      <c r="C1498" s="5" t="s">
        <v>1478</v>
      </c>
      <c r="D1498" s="5" t="s">
        <v>6519</v>
      </c>
      <c r="E1498" s="5" t="s">
        <v>6516</v>
      </c>
      <c r="F1498" s="5">
        <v>380</v>
      </c>
      <c r="G1498" s="5">
        <v>2280</v>
      </c>
    </row>
    <row r="1499" spans="1:7" ht="16.5">
      <c r="A1499" s="5" t="s">
        <v>6520</v>
      </c>
      <c r="B1499" s="10" t="s">
        <v>6521</v>
      </c>
      <c r="C1499" s="5" t="s">
        <v>1479</v>
      </c>
      <c r="D1499" s="5" t="s">
        <v>6522</v>
      </c>
      <c r="E1499" s="5" t="s">
        <v>6516</v>
      </c>
      <c r="F1499" s="5">
        <v>38</v>
      </c>
      <c r="G1499" s="5">
        <v>228</v>
      </c>
    </row>
    <row r="1500" spans="1:7" ht="16.5">
      <c r="A1500" s="5" t="s">
        <v>6523</v>
      </c>
      <c r="B1500" s="10" t="s">
        <v>6524</v>
      </c>
      <c r="C1500" s="5" t="s">
        <v>1480</v>
      </c>
      <c r="D1500" s="5" t="s">
        <v>6525</v>
      </c>
      <c r="E1500" s="5" t="s">
        <v>6526</v>
      </c>
      <c r="F1500" s="5">
        <v>24</v>
      </c>
      <c r="G1500" s="5">
        <v>144</v>
      </c>
    </row>
    <row r="1501" spans="1:7" ht="16.5">
      <c r="A1501" s="5" t="s">
        <v>6527</v>
      </c>
      <c r="B1501" s="10" t="s">
        <v>6528</v>
      </c>
      <c r="C1501" s="5" t="s">
        <v>6529</v>
      </c>
      <c r="D1501" s="5" t="s">
        <v>6530</v>
      </c>
      <c r="E1501" s="5" t="s">
        <v>6526</v>
      </c>
      <c r="F1501" s="5">
        <v>24</v>
      </c>
      <c r="G1501" s="5">
        <v>144</v>
      </c>
    </row>
    <row r="1502" spans="1:7" ht="16.5">
      <c r="A1502" s="5" t="s">
        <v>6531</v>
      </c>
      <c r="B1502" s="10" t="s">
        <v>6532</v>
      </c>
      <c r="C1502" s="5" t="s">
        <v>6533</v>
      </c>
      <c r="D1502" s="5" t="s">
        <v>6534</v>
      </c>
      <c r="E1502" s="5" t="s">
        <v>6526</v>
      </c>
      <c r="F1502" s="5">
        <v>15</v>
      </c>
      <c r="G1502" s="5">
        <v>90</v>
      </c>
    </row>
    <row r="1503" spans="1:7" ht="16.5">
      <c r="A1503" s="5" t="s">
        <v>6535</v>
      </c>
      <c r="B1503" s="10" t="s">
        <v>6536</v>
      </c>
      <c r="C1503" s="5" t="s">
        <v>1481</v>
      </c>
      <c r="D1503" s="5" t="s">
        <v>6537</v>
      </c>
      <c r="E1503" s="5" t="s">
        <v>6526</v>
      </c>
      <c r="F1503" s="5">
        <v>34</v>
      </c>
      <c r="G1503" s="5">
        <v>204</v>
      </c>
    </row>
    <row r="1504" spans="1:7" ht="16.5">
      <c r="A1504" s="5" t="s">
        <v>6538</v>
      </c>
      <c r="B1504" s="10" t="s">
        <v>6539</v>
      </c>
      <c r="C1504" s="5" t="s">
        <v>1482</v>
      </c>
      <c r="D1504" s="5" t="s">
        <v>6540</v>
      </c>
      <c r="E1504" s="5" t="s">
        <v>6526</v>
      </c>
      <c r="F1504" s="5">
        <v>28</v>
      </c>
      <c r="G1504" s="5">
        <v>168</v>
      </c>
    </row>
    <row r="1505" spans="1:7" ht="16.5">
      <c r="A1505" s="5" t="s">
        <v>6541</v>
      </c>
      <c r="B1505" s="10" t="s">
        <v>6542</v>
      </c>
      <c r="C1505" s="5" t="s">
        <v>6543</v>
      </c>
      <c r="D1505" s="5" t="s">
        <v>6544</v>
      </c>
      <c r="E1505" s="5" t="s">
        <v>6526</v>
      </c>
      <c r="F1505" s="5">
        <v>35</v>
      </c>
      <c r="G1505" s="5">
        <v>210</v>
      </c>
    </row>
    <row r="1506" spans="1:7" ht="16.5">
      <c r="A1506" s="5" t="s">
        <v>6545</v>
      </c>
      <c r="B1506" s="10" t="s">
        <v>6546</v>
      </c>
      <c r="C1506" s="5" t="s">
        <v>1483</v>
      </c>
      <c r="D1506" s="5" t="s">
        <v>6547</v>
      </c>
      <c r="E1506" s="5" t="s">
        <v>6548</v>
      </c>
      <c r="F1506" s="5">
        <v>26.8</v>
      </c>
      <c r="G1506" s="5">
        <v>161</v>
      </c>
    </row>
    <row r="1507" spans="1:7" ht="16.5">
      <c r="A1507" s="5" t="s">
        <v>6549</v>
      </c>
      <c r="B1507" s="10" t="s">
        <v>6550</v>
      </c>
      <c r="C1507" s="5" t="s">
        <v>1484</v>
      </c>
      <c r="D1507" s="5" t="s">
        <v>6551</v>
      </c>
      <c r="E1507" s="5" t="s">
        <v>6548</v>
      </c>
      <c r="F1507" s="5">
        <v>29.8</v>
      </c>
      <c r="G1507" s="5">
        <v>179</v>
      </c>
    </row>
    <row r="1508" spans="1:7" ht="16.5">
      <c r="A1508" s="5" t="s">
        <v>6552</v>
      </c>
      <c r="B1508" s="10" t="s">
        <v>6553</v>
      </c>
      <c r="C1508" s="5" t="s">
        <v>1485</v>
      </c>
      <c r="D1508" s="5" t="s">
        <v>6554</v>
      </c>
      <c r="E1508" s="5" t="s">
        <v>6548</v>
      </c>
      <c r="F1508" s="5">
        <v>19.8</v>
      </c>
      <c r="G1508" s="5">
        <v>119</v>
      </c>
    </row>
    <row r="1509" spans="1:7" ht="16.5">
      <c r="A1509" s="5" t="s">
        <v>6555</v>
      </c>
      <c r="B1509" s="10" t="s">
        <v>6556</v>
      </c>
      <c r="C1509" s="5" t="s">
        <v>1486</v>
      </c>
      <c r="D1509" s="5" t="s">
        <v>6557</v>
      </c>
      <c r="E1509" s="5" t="s">
        <v>6548</v>
      </c>
      <c r="F1509" s="5">
        <v>29.8</v>
      </c>
      <c r="G1509" s="5">
        <v>179</v>
      </c>
    </row>
    <row r="1510" spans="1:7" ht="16.5">
      <c r="A1510" s="5" t="s">
        <v>6558</v>
      </c>
      <c r="B1510" s="10" t="s">
        <v>6559</v>
      </c>
      <c r="C1510" s="5" t="s">
        <v>1487</v>
      </c>
      <c r="D1510" s="5" t="s">
        <v>6560</v>
      </c>
      <c r="E1510" s="5" t="s">
        <v>6548</v>
      </c>
      <c r="F1510" s="5">
        <v>29.8</v>
      </c>
      <c r="G1510" s="5">
        <v>179</v>
      </c>
    </row>
    <row r="1511" spans="1:7" ht="16.5">
      <c r="A1511" s="5" t="s">
        <v>6561</v>
      </c>
      <c r="B1511" s="10" t="s">
        <v>6562</v>
      </c>
      <c r="C1511" s="5" t="s">
        <v>1488</v>
      </c>
      <c r="D1511" s="5" t="s">
        <v>6563</v>
      </c>
      <c r="E1511" s="5" t="s">
        <v>6548</v>
      </c>
      <c r="F1511" s="5">
        <v>29</v>
      </c>
      <c r="G1511" s="5">
        <v>174</v>
      </c>
    </row>
    <row r="1512" spans="1:7" ht="16.5">
      <c r="A1512" s="5" t="s">
        <v>6564</v>
      </c>
      <c r="B1512" s="10" t="s">
        <v>6565</v>
      </c>
      <c r="C1512" s="5" t="s">
        <v>1489</v>
      </c>
      <c r="D1512" s="5" t="s">
        <v>6560</v>
      </c>
      <c r="E1512" s="5" t="s">
        <v>6548</v>
      </c>
      <c r="F1512" s="5">
        <v>29.8</v>
      </c>
      <c r="G1512" s="5">
        <v>179</v>
      </c>
    </row>
    <row r="1513" spans="1:7" ht="16.5">
      <c r="A1513" s="5" t="s">
        <v>6566</v>
      </c>
      <c r="B1513" s="10" t="s">
        <v>6567</v>
      </c>
      <c r="C1513" s="5" t="s">
        <v>1490</v>
      </c>
      <c r="D1513" s="5" t="s">
        <v>3297</v>
      </c>
      <c r="E1513" s="5" t="s">
        <v>6568</v>
      </c>
      <c r="F1513" s="5">
        <v>52</v>
      </c>
      <c r="G1513" s="5">
        <v>312</v>
      </c>
    </row>
    <row r="1514" spans="1:7" ht="16.5">
      <c r="A1514" s="5" t="s">
        <v>6569</v>
      </c>
      <c r="B1514" s="10" t="s">
        <v>6570</v>
      </c>
      <c r="C1514" s="5" t="s">
        <v>1491</v>
      </c>
      <c r="D1514" s="5" t="s">
        <v>3297</v>
      </c>
      <c r="E1514" s="5" t="s">
        <v>6568</v>
      </c>
      <c r="F1514" s="5">
        <v>28</v>
      </c>
      <c r="G1514" s="5">
        <v>168</v>
      </c>
    </row>
    <row r="1515" spans="1:7" ht="16.5">
      <c r="A1515" s="5" t="s">
        <v>6571</v>
      </c>
      <c r="B1515" s="10" t="s">
        <v>6572</v>
      </c>
      <c r="C1515" s="5" t="s">
        <v>1492</v>
      </c>
      <c r="D1515" s="5" t="s">
        <v>3297</v>
      </c>
      <c r="E1515" s="5" t="s">
        <v>6568</v>
      </c>
      <c r="F1515" s="5">
        <v>120</v>
      </c>
      <c r="G1515" s="5">
        <v>720</v>
      </c>
    </row>
    <row r="1516" spans="1:7" ht="16.5">
      <c r="A1516" s="5" t="s">
        <v>6573</v>
      </c>
      <c r="B1516" s="10" t="s">
        <v>6574</v>
      </c>
      <c r="C1516" s="5" t="s">
        <v>1493</v>
      </c>
      <c r="D1516" s="5" t="s">
        <v>3297</v>
      </c>
      <c r="E1516" s="5" t="s">
        <v>6568</v>
      </c>
      <c r="F1516" s="5">
        <v>380</v>
      </c>
      <c r="G1516" s="5">
        <v>2280</v>
      </c>
    </row>
    <row r="1517" spans="1:7" ht="16.5">
      <c r="A1517" s="5" t="s">
        <v>6575</v>
      </c>
      <c r="B1517" s="10" t="s">
        <v>6576</v>
      </c>
      <c r="C1517" s="5" t="s">
        <v>1494</v>
      </c>
      <c r="D1517" s="5" t="s">
        <v>3297</v>
      </c>
      <c r="E1517" s="5" t="s">
        <v>6568</v>
      </c>
      <c r="F1517" s="5">
        <v>42</v>
      </c>
      <c r="G1517" s="5">
        <v>252</v>
      </c>
    </row>
    <row r="1518" spans="1:7" ht="16.5">
      <c r="A1518" s="5" t="s">
        <v>6577</v>
      </c>
      <c r="B1518" s="10" t="s">
        <v>6578</v>
      </c>
      <c r="C1518" s="5" t="s">
        <v>1495</v>
      </c>
      <c r="D1518" s="5" t="s">
        <v>3297</v>
      </c>
      <c r="E1518" s="5" t="s">
        <v>6568</v>
      </c>
      <c r="F1518" s="5">
        <v>30</v>
      </c>
      <c r="G1518" s="5">
        <v>180</v>
      </c>
    </row>
    <row r="1519" spans="1:7" ht="16.5">
      <c r="A1519" s="5" t="s">
        <v>6579</v>
      </c>
      <c r="B1519" s="10" t="s">
        <v>6580</v>
      </c>
      <c r="C1519" s="5" t="s">
        <v>6581</v>
      </c>
      <c r="D1519" s="5" t="s">
        <v>3297</v>
      </c>
      <c r="E1519" s="5" t="s">
        <v>6568</v>
      </c>
      <c r="F1519" s="5">
        <v>100</v>
      </c>
      <c r="G1519" s="5">
        <v>600</v>
      </c>
    </row>
    <row r="1520" spans="1:7" ht="16.5">
      <c r="A1520" s="5" t="s">
        <v>6582</v>
      </c>
      <c r="B1520" s="10" t="s">
        <v>6583</v>
      </c>
      <c r="C1520" s="5" t="s">
        <v>1496</v>
      </c>
      <c r="D1520" s="5" t="s">
        <v>3297</v>
      </c>
      <c r="E1520" s="5" t="s">
        <v>6568</v>
      </c>
      <c r="F1520" s="5">
        <v>25</v>
      </c>
      <c r="G1520" s="5">
        <v>150</v>
      </c>
    </row>
    <row r="1521" spans="1:7" ht="16.5">
      <c r="A1521" s="5" t="s">
        <v>6584</v>
      </c>
      <c r="B1521" s="10" t="s">
        <v>6585</v>
      </c>
      <c r="C1521" s="5" t="s">
        <v>1497</v>
      </c>
      <c r="D1521" s="5" t="s">
        <v>6586</v>
      </c>
      <c r="E1521" s="5" t="s">
        <v>6587</v>
      </c>
      <c r="F1521" s="5">
        <v>20</v>
      </c>
      <c r="G1521" s="5">
        <v>120</v>
      </c>
    </row>
    <row r="1522" spans="1:7" ht="16.5">
      <c r="A1522" s="5" t="s">
        <v>6588</v>
      </c>
      <c r="B1522" s="10" t="s">
        <v>6589</v>
      </c>
      <c r="C1522" s="5" t="s">
        <v>1498</v>
      </c>
      <c r="D1522" s="5" t="s">
        <v>3297</v>
      </c>
      <c r="E1522" s="5" t="s">
        <v>5775</v>
      </c>
      <c r="F1522" s="5">
        <v>380</v>
      </c>
      <c r="G1522" s="5">
        <v>2280</v>
      </c>
    </row>
    <row r="1523" spans="1:7" ht="16.5">
      <c r="A1523" s="5" t="s">
        <v>6590</v>
      </c>
      <c r="B1523" s="10" t="s">
        <v>6591</v>
      </c>
      <c r="C1523" s="5" t="s">
        <v>1499</v>
      </c>
      <c r="D1523" s="5" t="s">
        <v>3297</v>
      </c>
      <c r="E1523" s="5" t="s">
        <v>5775</v>
      </c>
      <c r="F1523" s="5">
        <v>35.6</v>
      </c>
      <c r="G1523" s="5">
        <v>214</v>
      </c>
    </row>
    <row r="1524" spans="1:7" ht="16.5">
      <c r="A1524" s="5" t="s">
        <v>6592</v>
      </c>
      <c r="B1524" s="10" t="s">
        <v>6593</v>
      </c>
      <c r="C1524" s="5" t="s">
        <v>1500</v>
      </c>
      <c r="D1524" s="5" t="s">
        <v>3297</v>
      </c>
      <c r="E1524" s="5" t="s">
        <v>5775</v>
      </c>
      <c r="F1524" s="5">
        <v>36</v>
      </c>
      <c r="G1524" s="5">
        <v>216</v>
      </c>
    </row>
    <row r="1525" spans="1:7" ht="16.5">
      <c r="A1525" s="5" t="s">
        <v>6594</v>
      </c>
      <c r="B1525" s="10" t="s">
        <v>6595</v>
      </c>
      <c r="C1525" s="5" t="s">
        <v>1501</v>
      </c>
      <c r="D1525" s="5" t="s">
        <v>3297</v>
      </c>
      <c r="E1525" s="5" t="s">
        <v>5775</v>
      </c>
      <c r="F1525" s="5">
        <v>48</v>
      </c>
      <c r="G1525" s="5">
        <v>288</v>
      </c>
    </row>
    <row r="1526" spans="1:7" ht="16.5">
      <c r="A1526" s="5" t="s">
        <v>6596</v>
      </c>
      <c r="B1526" s="10" t="s">
        <v>6597</v>
      </c>
      <c r="C1526" s="5" t="s">
        <v>1502</v>
      </c>
      <c r="D1526" s="5" t="s">
        <v>3297</v>
      </c>
      <c r="E1526" s="5" t="s">
        <v>5775</v>
      </c>
      <c r="F1526" s="5">
        <v>98</v>
      </c>
      <c r="G1526" s="5">
        <v>588</v>
      </c>
    </row>
    <row r="1527" spans="1:7" ht="16.5">
      <c r="A1527" s="5" t="s">
        <v>6598</v>
      </c>
      <c r="B1527" s="10" t="s">
        <v>6599</v>
      </c>
      <c r="C1527" s="5" t="s">
        <v>1503</v>
      </c>
      <c r="D1527" s="5" t="s">
        <v>3297</v>
      </c>
      <c r="E1527" s="5" t="s">
        <v>5775</v>
      </c>
      <c r="F1527" s="5">
        <v>24</v>
      </c>
      <c r="G1527" s="5">
        <v>144</v>
      </c>
    </row>
    <row r="1528" spans="1:7" ht="16.5">
      <c r="A1528" s="5" t="s">
        <v>6600</v>
      </c>
      <c r="B1528" s="10" t="s">
        <v>6601</v>
      </c>
      <c r="C1528" s="5" t="s">
        <v>1504</v>
      </c>
      <c r="D1528" s="5" t="s">
        <v>3297</v>
      </c>
      <c r="E1528" s="5" t="s">
        <v>5775</v>
      </c>
      <c r="F1528" s="5">
        <v>24</v>
      </c>
      <c r="G1528" s="5">
        <v>144</v>
      </c>
    </row>
    <row r="1529" spans="1:7" ht="16.5">
      <c r="A1529" s="5" t="s">
        <v>6602</v>
      </c>
      <c r="B1529" s="10" t="s">
        <v>6603</v>
      </c>
      <c r="C1529" s="5" t="s">
        <v>1505</v>
      </c>
      <c r="D1529" s="5" t="s">
        <v>3297</v>
      </c>
      <c r="E1529" s="5" t="s">
        <v>5775</v>
      </c>
      <c r="F1529" s="5">
        <v>39</v>
      </c>
      <c r="G1529" s="5">
        <v>234</v>
      </c>
    </row>
    <row r="1530" spans="1:7" ht="16.5">
      <c r="A1530" s="5" t="s">
        <v>6604</v>
      </c>
      <c r="B1530" s="10" t="s">
        <v>6605</v>
      </c>
      <c r="C1530" s="5" t="s">
        <v>1506</v>
      </c>
      <c r="D1530" s="5" t="s">
        <v>3297</v>
      </c>
      <c r="E1530" s="5" t="s">
        <v>5775</v>
      </c>
      <c r="F1530" s="5">
        <v>19.6</v>
      </c>
      <c r="G1530" s="5">
        <v>118</v>
      </c>
    </row>
    <row r="1531" spans="1:7" ht="16.5">
      <c r="A1531" s="5" t="s">
        <v>6606</v>
      </c>
      <c r="B1531" s="10" t="s">
        <v>6607</v>
      </c>
      <c r="C1531" s="5" t="s">
        <v>1507</v>
      </c>
      <c r="D1531" s="5" t="s">
        <v>3297</v>
      </c>
      <c r="E1531" s="5" t="s">
        <v>5775</v>
      </c>
      <c r="F1531" s="5">
        <v>19.6</v>
      </c>
      <c r="G1531" s="5">
        <v>118</v>
      </c>
    </row>
    <row r="1532" spans="1:7" ht="16.5">
      <c r="A1532" s="5" t="s">
        <v>6608</v>
      </c>
      <c r="B1532" s="10" t="s">
        <v>6609</v>
      </c>
      <c r="C1532" s="5" t="s">
        <v>1508</v>
      </c>
      <c r="D1532" s="5" t="s">
        <v>3297</v>
      </c>
      <c r="E1532" s="5" t="s">
        <v>5775</v>
      </c>
      <c r="F1532" s="5">
        <v>19.6</v>
      </c>
      <c r="G1532" s="5">
        <v>118</v>
      </c>
    </row>
    <row r="1533" spans="1:7" ht="16.5">
      <c r="A1533" s="5" t="s">
        <v>6610</v>
      </c>
      <c r="B1533" s="10" t="s">
        <v>6611</v>
      </c>
      <c r="C1533" s="5" t="s">
        <v>1509</v>
      </c>
      <c r="D1533" s="5" t="s">
        <v>3297</v>
      </c>
      <c r="E1533" s="5" t="s">
        <v>5775</v>
      </c>
      <c r="F1533" s="5">
        <v>19.6</v>
      </c>
      <c r="G1533" s="5">
        <v>118</v>
      </c>
    </row>
    <row r="1534" spans="1:7" ht="16.5">
      <c r="A1534" s="5" t="s">
        <v>6612</v>
      </c>
      <c r="B1534" s="10" t="s">
        <v>6613</v>
      </c>
      <c r="C1534" s="5" t="s">
        <v>1510</v>
      </c>
      <c r="D1534" s="5" t="s">
        <v>3297</v>
      </c>
      <c r="E1534" s="5" t="s">
        <v>5775</v>
      </c>
      <c r="F1534" s="5">
        <v>19.6</v>
      </c>
      <c r="G1534" s="5">
        <v>118</v>
      </c>
    </row>
    <row r="1535" spans="1:7" ht="16.5">
      <c r="A1535" s="5" t="s">
        <v>6614</v>
      </c>
      <c r="B1535" s="10" t="s">
        <v>6615</v>
      </c>
      <c r="C1535" s="5" t="s">
        <v>1511</v>
      </c>
      <c r="D1535" s="5" t="s">
        <v>3297</v>
      </c>
      <c r="E1535" s="5" t="s">
        <v>5775</v>
      </c>
      <c r="F1535" s="5">
        <v>19.6</v>
      </c>
      <c r="G1535" s="5">
        <v>118</v>
      </c>
    </row>
    <row r="1536" spans="1:7" ht="16.5">
      <c r="A1536" s="5" t="s">
        <v>6616</v>
      </c>
      <c r="B1536" s="10" t="s">
        <v>6617</v>
      </c>
      <c r="C1536" s="5" t="s">
        <v>1512</v>
      </c>
      <c r="D1536" s="5" t="s">
        <v>3297</v>
      </c>
      <c r="E1536" s="5" t="s">
        <v>5775</v>
      </c>
      <c r="F1536" s="5">
        <v>19.6</v>
      </c>
      <c r="G1536" s="5">
        <v>118</v>
      </c>
    </row>
    <row r="1537" spans="1:7" ht="16.5">
      <c r="A1537" s="5" t="s">
        <v>6618</v>
      </c>
      <c r="B1537" s="10" t="s">
        <v>6619</v>
      </c>
      <c r="C1537" s="5" t="s">
        <v>1513</v>
      </c>
      <c r="D1537" s="5" t="s">
        <v>3297</v>
      </c>
      <c r="E1537" s="5" t="s">
        <v>5775</v>
      </c>
      <c r="F1537" s="5">
        <v>26.8</v>
      </c>
      <c r="G1537" s="5">
        <v>161</v>
      </c>
    </row>
    <row r="1538" spans="1:7" ht="16.5">
      <c r="A1538" s="5" t="s">
        <v>6620</v>
      </c>
      <c r="B1538" s="10" t="s">
        <v>6621</v>
      </c>
      <c r="C1538" s="5" t="s">
        <v>1514</v>
      </c>
      <c r="D1538" s="5" t="s">
        <v>3297</v>
      </c>
      <c r="E1538" s="5" t="s">
        <v>5775</v>
      </c>
      <c r="F1538" s="5">
        <v>72</v>
      </c>
      <c r="G1538" s="5">
        <v>432</v>
      </c>
    </row>
    <row r="1539" spans="1:7" ht="16.5">
      <c r="A1539" s="5" t="s">
        <v>6622</v>
      </c>
      <c r="B1539" s="10" t="s">
        <v>6623</v>
      </c>
      <c r="C1539" s="5" t="s">
        <v>1515</v>
      </c>
      <c r="D1539" s="5" t="s">
        <v>3297</v>
      </c>
      <c r="E1539" s="5" t="s">
        <v>5775</v>
      </c>
      <c r="F1539" s="5">
        <v>74</v>
      </c>
      <c r="G1539" s="5">
        <v>444</v>
      </c>
    </row>
    <row r="1540" spans="1:7" ht="16.5">
      <c r="A1540" s="5" t="s">
        <v>6624</v>
      </c>
      <c r="B1540" s="10" t="s">
        <v>6625</v>
      </c>
      <c r="C1540" s="5" t="s">
        <v>1516</v>
      </c>
      <c r="D1540" s="5" t="s">
        <v>3297</v>
      </c>
      <c r="E1540" s="5" t="s">
        <v>5775</v>
      </c>
      <c r="F1540" s="5">
        <v>54</v>
      </c>
      <c r="G1540" s="5">
        <v>324</v>
      </c>
    </row>
    <row r="1541" spans="1:7" ht="16.5">
      <c r="A1541" s="5" t="s">
        <v>6626</v>
      </c>
      <c r="B1541" s="10" t="s">
        <v>6627</v>
      </c>
      <c r="C1541" s="5" t="s">
        <v>1517</v>
      </c>
      <c r="D1541" s="5" t="s">
        <v>3297</v>
      </c>
      <c r="E1541" s="5" t="s">
        <v>5775</v>
      </c>
      <c r="F1541" s="5">
        <v>750</v>
      </c>
      <c r="G1541" s="5">
        <v>4500</v>
      </c>
    </row>
    <row r="1542" spans="1:7" ht="16.5">
      <c r="A1542" s="5" t="s">
        <v>6628</v>
      </c>
      <c r="B1542" s="10" t="s">
        <v>6629</v>
      </c>
      <c r="C1542" s="5" t="s">
        <v>1518</v>
      </c>
      <c r="D1542" s="5" t="s">
        <v>3297</v>
      </c>
      <c r="E1542" s="5" t="s">
        <v>5775</v>
      </c>
      <c r="F1542" s="5">
        <v>750</v>
      </c>
      <c r="G1542" s="5">
        <v>4500</v>
      </c>
    </row>
    <row r="1543" spans="1:7" ht="16.5">
      <c r="A1543" s="5" t="s">
        <v>6630</v>
      </c>
      <c r="B1543" s="10" t="s">
        <v>6631</v>
      </c>
      <c r="C1543" s="5" t="s">
        <v>1519</v>
      </c>
      <c r="D1543" s="5" t="s">
        <v>3297</v>
      </c>
      <c r="E1543" s="5" t="s">
        <v>5775</v>
      </c>
      <c r="F1543" s="5">
        <v>26</v>
      </c>
      <c r="G1543" s="5">
        <v>156</v>
      </c>
    </row>
    <row r="1544" spans="1:7" ht="16.5">
      <c r="A1544" s="5" t="s">
        <v>6632</v>
      </c>
      <c r="B1544" s="10" t="s">
        <v>6633</v>
      </c>
      <c r="C1544" s="5" t="s">
        <v>1520</v>
      </c>
      <c r="D1544" s="5" t="s">
        <v>6634</v>
      </c>
      <c r="E1544" s="5" t="s">
        <v>6635</v>
      </c>
      <c r="F1544" s="5">
        <v>29.8</v>
      </c>
      <c r="G1544" s="5">
        <v>179</v>
      </c>
    </row>
    <row r="1545" spans="1:7" ht="16.5">
      <c r="A1545" s="5" t="s">
        <v>6636</v>
      </c>
      <c r="B1545" s="10" t="s">
        <v>6637</v>
      </c>
      <c r="C1545" s="5" t="s">
        <v>1521</v>
      </c>
      <c r="D1545" s="5" t="s">
        <v>6638</v>
      </c>
      <c r="E1545" s="5" t="s">
        <v>6639</v>
      </c>
      <c r="F1545" s="5">
        <v>39.8</v>
      </c>
      <c r="G1545" s="5">
        <v>239</v>
      </c>
    </row>
    <row r="1546" spans="1:7" ht="16.5">
      <c r="A1546" s="5" t="s">
        <v>6640</v>
      </c>
      <c r="B1546" s="10" t="s">
        <v>2236</v>
      </c>
      <c r="C1546" s="5" t="s">
        <v>1522</v>
      </c>
      <c r="D1546" s="5" t="s">
        <v>6641</v>
      </c>
      <c r="E1546" s="5" t="s">
        <v>4558</v>
      </c>
      <c r="F1546" s="5">
        <v>30</v>
      </c>
      <c r="G1546" s="5">
        <v>180</v>
      </c>
    </row>
    <row r="1547" spans="1:7" ht="16.5">
      <c r="A1547" s="5" t="s">
        <v>6642</v>
      </c>
      <c r="B1547" s="10" t="s">
        <v>2236</v>
      </c>
      <c r="C1547" s="5" t="s">
        <v>1523</v>
      </c>
      <c r="D1547" s="5" t="s">
        <v>6643</v>
      </c>
      <c r="E1547" s="5" t="s">
        <v>4558</v>
      </c>
      <c r="F1547" s="5">
        <v>35</v>
      </c>
      <c r="G1547" s="5">
        <v>210</v>
      </c>
    </row>
    <row r="1548" spans="1:7" ht="16.5">
      <c r="A1548" s="5" t="s">
        <v>6644</v>
      </c>
      <c r="B1548" s="10" t="s">
        <v>6645</v>
      </c>
      <c r="C1548" s="5" t="s">
        <v>1524</v>
      </c>
      <c r="D1548" s="5" t="s">
        <v>6646</v>
      </c>
      <c r="E1548" s="5" t="s">
        <v>6647</v>
      </c>
      <c r="F1548" s="5">
        <v>32</v>
      </c>
      <c r="G1548" s="5">
        <v>192</v>
      </c>
    </row>
    <row r="1549" spans="1:7" ht="16.5">
      <c r="A1549" s="5" t="s">
        <v>6648</v>
      </c>
      <c r="B1549" s="10" t="s">
        <v>6649</v>
      </c>
      <c r="C1549" s="5" t="s">
        <v>1525</v>
      </c>
      <c r="D1549" s="5" t="s">
        <v>6650</v>
      </c>
      <c r="E1549" s="5" t="s">
        <v>2236</v>
      </c>
      <c r="F1549" s="5">
        <v>0</v>
      </c>
      <c r="G1549" s="5">
        <v>1500</v>
      </c>
    </row>
    <row r="1550" spans="1:7" ht="16.5">
      <c r="A1550" s="5" t="s">
        <v>6651</v>
      </c>
      <c r="B1550" s="10" t="s">
        <v>2236</v>
      </c>
      <c r="C1550" s="5" t="s">
        <v>1526</v>
      </c>
      <c r="D1550" s="5" t="s">
        <v>2236</v>
      </c>
      <c r="E1550" s="5" t="s">
        <v>4558</v>
      </c>
      <c r="F1550" s="5">
        <v>220</v>
      </c>
      <c r="G1550" s="5">
        <v>1500</v>
      </c>
    </row>
    <row r="1551" spans="1:7" ht="16.5">
      <c r="A1551" s="5" t="s">
        <v>6652</v>
      </c>
      <c r="B1551" s="10" t="s">
        <v>2236</v>
      </c>
      <c r="C1551" s="5" t="s">
        <v>1527</v>
      </c>
      <c r="D1551" s="5" t="s">
        <v>2236</v>
      </c>
      <c r="E1551" s="5" t="s">
        <v>4558</v>
      </c>
      <c r="F1551" s="5">
        <v>180</v>
      </c>
      <c r="G1551" s="5">
        <v>1300</v>
      </c>
    </row>
    <row r="1552" spans="1:7" ht="16.5">
      <c r="A1552" s="5" t="s">
        <v>6653</v>
      </c>
      <c r="B1552" s="10" t="s">
        <v>6654</v>
      </c>
      <c r="C1552" s="5" t="s">
        <v>1528</v>
      </c>
      <c r="D1552" s="5" t="s">
        <v>6655</v>
      </c>
      <c r="E1552" s="5" t="s">
        <v>6656</v>
      </c>
      <c r="F1552" s="5">
        <v>32</v>
      </c>
      <c r="G1552" s="5">
        <v>192</v>
      </c>
    </row>
    <row r="1553" spans="1:7" ht="16.5">
      <c r="A1553" s="5" t="s">
        <v>6657</v>
      </c>
      <c r="B1553" s="10" t="s">
        <v>6658</v>
      </c>
      <c r="C1553" s="5" t="s">
        <v>1529</v>
      </c>
      <c r="D1553" s="5" t="s">
        <v>6659</v>
      </c>
      <c r="E1553" s="5" t="s">
        <v>6656</v>
      </c>
      <c r="F1553" s="5">
        <v>32</v>
      </c>
      <c r="G1553" s="5">
        <v>192</v>
      </c>
    </row>
    <row r="1554" spans="1:7" ht="16.5">
      <c r="A1554" s="5" t="s">
        <v>6660</v>
      </c>
      <c r="B1554" s="10" t="s">
        <v>6661</v>
      </c>
      <c r="C1554" s="5" t="s">
        <v>1530</v>
      </c>
      <c r="D1554" s="5" t="s">
        <v>6662</v>
      </c>
      <c r="E1554" s="5" t="s">
        <v>6656</v>
      </c>
      <c r="F1554" s="5">
        <v>32</v>
      </c>
      <c r="G1554" s="5">
        <v>192</v>
      </c>
    </row>
    <row r="1555" spans="1:7" ht="16.5">
      <c r="A1555" s="5" t="s">
        <v>6663</v>
      </c>
      <c r="B1555" s="10" t="s">
        <v>6664</v>
      </c>
      <c r="C1555" s="5" t="s">
        <v>1531</v>
      </c>
      <c r="D1555" s="5" t="s">
        <v>6662</v>
      </c>
      <c r="E1555" s="5" t="s">
        <v>6656</v>
      </c>
      <c r="F1555" s="5">
        <v>32</v>
      </c>
      <c r="G1555" s="5">
        <v>192</v>
      </c>
    </row>
    <row r="1556" spans="1:7" ht="16.5">
      <c r="A1556" s="5" t="s">
        <v>6665</v>
      </c>
      <c r="B1556" s="10" t="s">
        <v>6666</v>
      </c>
      <c r="C1556" s="5" t="s">
        <v>1532</v>
      </c>
      <c r="D1556" s="5" t="s">
        <v>6667</v>
      </c>
      <c r="E1556" s="5" t="s">
        <v>6656</v>
      </c>
      <c r="F1556" s="5">
        <v>32</v>
      </c>
      <c r="G1556" s="5">
        <v>192</v>
      </c>
    </row>
    <row r="1557" spans="1:7" ht="16.5">
      <c r="A1557" s="5" t="s">
        <v>6668</v>
      </c>
      <c r="B1557" s="10" t="s">
        <v>6669</v>
      </c>
      <c r="C1557" s="5" t="s">
        <v>1533</v>
      </c>
      <c r="D1557" s="5" t="s">
        <v>6670</v>
      </c>
      <c r="E1557" s="5" t="s">
        <v>6656</v>
      </c>
      <c r="F1557" s="5">
        <v>32</v>
      </c>
      <c r="G1557" s="5">
        <v>192</v>
      </c>
    </row>
    <row r="1558" spans="1:7" ht="16.5">
      <c r="A1558" s="5" t="s">
        <v>6671</v>
      </c>
      <c r="B1558" s="10" t="s">
        <v>6672</v>
      </c>
      <c r="C1558" s="5" t="s">
        <v>1534</v>
      </c>
      <c r="D1558" s="5" t="s">
        <v>6673</v>
      </c>
      <c r="E1558" s="5" t="s">
        <v>6656</v>
      </c>
      <c r="F1558" s="5">
        <v>32</v>
      </c>
      <c r="G1558" s="5">
        <v>192</v>
      </c>
    </row>
    <row r="1559" spans="1:7" ht="16.5">
      <c r="A1559" s="5" t="s">
        <v>6674</v>
      </c>
      <c r="B1559" s="10" t="s">
        <v>6675</v>
      </c>
      <c r="C1559" s="5" t="s">
        <v>1535</v>
      </c>
      <c r="D1559" s="5" t="s">
        <v>6676</v>
      </c>
      <c r="E1559" s="5" t="s">
        <v>6656</v>
      </c>
      <c r="F1559" s="5">
        <v>32</v>
      </c>
      <c r="G1559" s="5">
        <v>192</v>
      </c>
    </row>
    <row r="1560" spans="1:7" ht="16.5">
      <c r="A1560" s="5" t="s">
        <v>6677</v>
      </c>
      <c r="B1560" s="10" t="s">
        <v>6678</v>
      </c>
      <c r="C1560" s="5" t="s">
        <v>1536</v>
      </c>
      <c r="D1560" s="5" t="s">
        <v>6679</v>
      </c>
      <c r="E1560" s="5" t="s">
        <v>6656</v>
      </c>
      <c r="F1560" s="5">
        <v>32</v>
      </c>
      <c r="G1560" s="5">
        <v>192</v>
      </c>
    </row>
    <row r="1561" spans="1:7" ht="16.5">
      <c r="A1561" s="5" t="s">
        <v>6680</v>
      </c>
      <c r="B1561" s="10" t="s">
        <v>6681</v>
      </c>
      <c r="C1561" s="5" t="s">
        <v>1537</v>
      </c>
      <c r="D1561" s="5" t="s">
        <v>6659</v>
      </c>
      <c r="E1561" s="5" t="s">
        <v>6656</v>
      </c>
      <c r="F1561" s="5">
        <v>32</v>
      </c>
      <c r="G1561" s="5">
        <v>192</v>
      </c>
    </row>
    <row r="1562" spans="1:7" ht="16.5">
      <c r="A1562" s="5" t="s">
        <v>6682</v>
      </c>
      <c r="B1562" s="10" t="s">
        <v>6683</v>
      </c>
      <c r="C1562" s="5" t="s">
        <v>1538</v>
      </c>
      <c r="D1562" s="5" t="s">
        <v>6684</v>
      </c>
      <c r="E1562" s="5" t="s">
        <v>6685</v>
      </c>
      <c r="F1562" s="5">
        <v>98</v>
      </c>
      <c r="G1562" s="5">
        <v>588</v>
      </c>
    </row>
    <row r="1563" spans="1:7" ht="16.5">
      <c r="A1563" s="5" t="s">
        <v>6686</v>
      </c>
      <c r="B1563" s="10" t="s">
        <v>6687</v>
      </c>
      <c r="C1563" s="5" t="s">
        <v>1539</v>
      </c>
      <c r="D1563" s="5" t="s">
        <v>6688</v>
      </c>
      <c r="E1563" s="5" t="s">
        <v>6685</v>
      </c>
      <c r="F1563" s="5">
        <v>42</v>
      </c>
      <c r="G1563" s="5">
        <v>252</v>
      </c>
    </row>
    <row r="1564" spans="1:7" ht="16.5">
      <c r="A1564" s="5" t="s">
        <v>6689</v>
      </c>
      <c r="B1564" s="10" t="s">
        <v>6690</v>
      </c>
      <c r="C1564" s="5" t="s">
        <v>1540</v>
      </c>
      <c r="D1564" s="5" t="s">
        <v>6691</v>
      </c>
      <c r="E1564" s="5" t="s">
        <v>6692</v>
      </c>
      <c r="F1564" s="5">
        <v>25</v>
      </c>
      <c r="G1564" s="5">
        <v>150</v>
      </c>
    </row>
    <row r="1565" spans="1:7" ht="16.5">
      <c r="A1565" s="5" t="s">
        <v>6693</v>
      </c>
      <c r="B1565" s="10" t="s">
        <v>6694</v>
      </c>
      <c r="C1565" s="5" t="s">
        <v>1541</v>
      </c>
      <c r="D1565" s="5" t="s">
        <v>6695</v>
      </c>
      <c r="E1565" s="5" t="s">
        <v>6692</v>
      </c>
      <c r="F1565" s="5">
        <v>25</v>
      </c>
      <c r="G1565" s="5">
        <v>150</v>
      </c>
    </row>
    <row r="1566" spans="1:7" ht="16.5">
      <c r="A1566" s="5" t="s">
        <v>6696</v>
      </c>
      <c r="B1566" s="10" t="s">
        <v>6697</v>
      </c>
      <c r="C1566" s="5" t="s">
        <v>1542</v>
      </c>
      <c r="D1566" s="5" t="s">
        <v>2899</v>
      </c>
      <c r="E1566" s="5" t="s">
        <v>6692</v>
      </c>
      <c r="F1566" s="5">
        <v>58</v>
      </c>
      <c r="G1566" s="5">
        <v>348</v>
      </c>
    </row>
    <row r="1567" spans="1:7" ht="16.5">
      <c r="A1567" s="5" t="s">
        <v>6698</v>
      </c>
      <c r="B1567" s="10" t="s">
        <v>6699</v>
      </c>
      <c r="C1567" s="5" t="s">
        <v>1543</v>
      </c>
      <c r="D1567" s="5" t="s">
        <v>2236</v>
      </c>
      <c r="E1567" s="5" t="s">
        <v>6700</v>
      </c>
      <c r="F1567" s="5">
        <v>18</v>
      </c>
      <c r="G1567" s="5">
        <v>108</v>
      </c>
    </row>
    <row r="1568" spans="1:7" ht="16.5">
      <c r="A1568" s="5" t="s">
        <v>6701</v>
      </c>
      <c r="B1568" s="10" t="s">
        <v>6702</v>
      </c>
      <c r="C1568" s="5" t="s">
        <v>1544</v>
      </c>
      <c r="D1568" s="5" t="s">
        <v>4093</v>
      </c>
      <c r="E1568" s="5" t="s">
        <v>6700</v>
      </c>
      <c r="F1568" s="5">
        <v>17</v>
      </c>
      <c r="G1568" s="5">
        <v>102</v>
      </c>
    </row>
    <row r="1569" spans="1:7" ht="16.5">
      <c r="A1569" s="5" t="s">
        <v>6703</v>
      </c>
      <c r="B1569" s="10" t="s">
        <v>6704</v>
      </c>
      <c r="C1569" s="5" t="s">
        <v>1545</v>
      </c>
      <c r="D1569" s="5" t="s">
        <v>6705</v>
      </c>
      <c r="E1569" s="5" t="s">
        <v>6700</v>
      </c>
      <c r="F1569" s="5">
        <v>298</v>
      </c>
      <c r="G1569" s="5">
        <v>1788</v>
      </c>
    </row>
    <row r="1570" spans="1:7" ht="16.5">
      <c r="A1570" s="5" t="s">
        <v>6706</v>
      </c>
      <c r="B1570" s="10" t="s">
        <v>6707</v>
      </c>
      <c r="C1570" s="5" t="s">
        <v>1546</v>
      </c>
      <c r="D1570" s="5" t="s">
        <v>6708</v>
      </c>
      <c r="E1570" s="5" t="s">
        <v>6709</v>
      </c>
      <c r="F1570" s="5">
        <v>26.5</v>
      </c>
      <c r="G1570" s="5">
        <v>159</v>
      </c>
    </row>
    <row r="1571" spans="1:7" ht="16.5">
      <c r="A1571" s="5" t="s">
        <v>6710</v>
      </c>
      <c r="B1571" s="10" t="s">
        <v>6711</v>
      </c>
      <c r="C1571" s="5" t="s">
        <v>1547</v>
      </c>
      <c r="D1571" s="5" t="s">
        <v>6712</v>
      </c>
      <c r="E1571" s="5" t="s">
        <v>6709</v>
      </c>
      <c r="F1571" s="5">
        <v>130</v>
      </c>
      <c r="G1571" s="5">
        <v>780</v>
      </c>
    </row>
    <row r="1572" spans="1:7" ht="16.5">
      <c r="A1572" s="5" t="s">
        <v>6713</v>
      </c>
      <c r="B1572" s="10" t="s">
        <v>6714</v>
      </c>
      <c r="C1572" s="5" t="s">
        <v>1548</v>
      </c>
      <c r="D1572" s="5" t="s">
        <v>3297</v>
      </c>
      <c r="E1572" s="5" t="s">
        <v>3298</v>
      </c>
      <c r="F1572" s="5">
        <v>8</v>
      </c>
      <c r="G1572" s="5">
        <v>48</v>
      </c>
    </row>
    <row r="1573" spans="1:7" ht="16.5">
      <c r="A1573" s="5" t="s">
        <v>6715</v>
      </c>
      <c r="B1573" s="10" t="s">
        <v>6716</v>
      </c>
      <c r="C1573" s="5" t="s">
        <v>1549</v>
      </c>
      <c r="D1573" s="5" t="s">
        <v>3297</v>
      </c>
      <c r="E1573" s="5" t="s">
        <v>3298</v>
      </c>
      <c r="F1573" s="5">
        <v>25</v>
      </c>
      <c r="G1573" s="5">
        <v>150</v>
      </c>
    </row>
    <row r="1574" spans="1:7" ht="16.5">
      <c r="A1574" s="5" t="s">
        <v>6717</v>
      </c>
      <c r="B1574" s="10" t="s">
        <v>6718</v>
      </c>
      <c r="C1574" s="5" t="s">
        <v>1550</v>
      </c>
      <c r="D1574" s="5" t="s">
        <v>3297</v>
      </c>
      <c r="E1574" s="5" t="s">
        <v>3298</v>
      </c>
      <c r="F1574" s="5">
        <v>29.8</v>
      </c>
      <c r="G1574" s="5">
        <v>179</v>
      </c>
    </row>
    <row r="1575" spans="1:7" ht="16.5">
      <c r="A1575" s="5" t="s">
        <v>6719</v>
      </c>
      <c r="B1575" s="10" t="s">
        <v>6720</v>
      </c>
      <c r="C1575" s="5" t="s">
        <v>1551</v>
      </c>
      <c r="D1575" s="5" t="s">
        <v>3297</v>
      </c>
      <c r="E1575" s="5" t="s">
        <v>3298</v>
      </c>
      <c r="F1575" s="5">
        <v>32.5</v>
      </c>
      <c r="G1575" s="5">
        <v>195</v>
      </c>
    </row>
    <row r="1576" spans="1:7" ht="16.5">
      <c r="A1576" s="5" t="s">
        <v>6721</v>
      </c>
      <c r="B1576" s="10" t="s">
        <v>6722</v>
      </c>
      <c r="C1576" s="5" t="s">
        <v>1552</v>
      </c>
      <c r="D1576" s="5" t="s">
        <v>3297</v>
      </c>
      <c r="E1576" s="5" t="s">
        <v>3298</v>
      </c>
      <c r="F1576" s="5">
        <v>32.5</v>
      </c>
      <c r="G1576" s="5">
        <v>195</v>
      </c>
    </row>
    <row r="1577" spans="1:7" ht="16.5">
      <c r="A1577" s="5" t="s">
        <v>6723</v>
      </c>
      <c r="B1577" s="10" t="s">
        <v>6724</v>
      </c>
      <c r="C1577" s="5" t="s">
        <v>1553</v>
      </c>
      <c r="D1577" s="5" t="s">
        <v>3297</v>
      </c>
      <c r="E1577" s="5" t="s">
        <v>3298</v>
      </c>
      <c r="F1577" s="5">
        <v>12</v>
      </c>
      <c r="G1577" s="5">
        <v>72</v>
      </c>
    </row>
    <row r="1578" spans="1:7" ht="16.5">
      <c r="A1578" s="5" t="s">
        <v>6725</v>
      </c>
      <c r="B1578" s="10" t="s">
        <v>6726</v>
      </c>
      <c r="C1578" s="5" t="s">
        <v>1554</v>
      </c>
      <c r="D1578" s="5" t="s">
        <v>3297</v>
      </c>
      <c r="E1578" s="5" t="s">
        <v>3298</v>
      </c>
      <c r="F1578" s="5">
        <v>12</v>
      </c>
      <c r="G1578" s="5">
        <v>72</v>
      </c>
    </row>
    <row r="1579" spans="1:7" ht="16.5">
      <c r="A1579" s="5" t="s">
        <v>6727</v>
      </c>
      <c r="B1579" s="10" t="s">
        <v>6728</v>
      </c>
      <c r="C1579" s="5" t="s">
        <v>1555</v>
      </c>
      <c r="D1579" s="5" t="s">
        <v>3297</v>
      </c>
      <c r="E1579" s="5" t="s">
        <v>3298</v>
      </c>
      <c r="F1579" s="5">
        <v>8</v>
      </c>
      <c r="G1579" s="5">
        <v>48</v>
      </c>
    </row>
    <row r="1580" spans="1:7" ht="16.5">
      <c r="A1580" s="5" t="s">
        <v>6729</v>
      </c>
      <c r="B1580" s="10" t="s">
        <v>6730</v>
      </c>
      <c r="C1580" s="5" t="s">
        <v>1556</v>
      </c>
      <c r="D1580" s="5" t="s">
        <v>3297</v>
      </c>
      <c r="E1580" s="5" t="s">
        <v>3298</v>
      </c>
      <c r="F1580" s="5">
        <v>8</v>
      </c>
      <c r="G1580" s="5">
        <v>48</v>
      </c>
    </row>
    <row r="1581" spans="1:7" ht="16.5">
      <c r="A1581" s="5" t="s">
        <v>6731</v>
      </c>
      <c r="B1581" s="10" t="s">
        <v>6732</v>
      </c>
      <c r="C1581" s="5" t="s">
        <v>1557</v>
      </c>
      <c r="D1581" s="5" t="s">
        <v>3297</v>
      </c>
      <c r="E1581" s="5" t="s">
        <v>3298</v>
      </c>
      <c r="F1581" s="5">
        <v>8</v>
      </c>
      <c r="G1581" s="5">
        <v>48</v>
      </c>
    </row>
    <row r="1582" spans="1:7" ht="16.5">
      <c r="A1582" s="5" t="s">
        <v>6733</v>
      </c>
      <c r="B1582" s="10" t="s">
        <v>6734</v>
      </c>
      <c r="C1582" s="5" t="s">
        <v>1558</v>
      </c>
      <c r="D1582" s="5" t="s">
        <v>3297</v>
      </c>
      <c r="E1582" s="5" t="s">
        <v>3298</v>
      </c>
      <c r="F1582" s="5">
        <v>8</v>
      </c>
      <c r="G1582" s="5">
        <v>48</v>
      </c>
    </row>
    <row r="1583" spans="1:7" ht="16.5">
      <c r="A1583" s="5" t="s">
        <v>6735</v>
      </c>
      <c r="B1583" s="10" t="s">
        <v>6736</v>
      </c>
      <c r="C1583" s="5" t="s">
        <v>1559</v>
      </c>
      <c r="D1583" s="5" t="s">
        <v>3297</v>
      </c>
      <c r="E1583" s="5" t="s">
        <v>3298</v>
      </c>
      <c r="F1583" s="5">
        <v>8</v>
      </c>
      <c r="G1583" s="5">
        <v>48</v>
      </c>
    </row>
    <row r="1584" spans="1:7" ht="16.5">
      <c r="A1584" s="5" t="s">
        <v>6737</v>
      </c>
      <c r="B1584" s="10" t="s">
        <v>6738</v>
      </c>
      <c r="C1584" s="5" t="s">
        <v>1560</v>
      </c>
      <c r="D1584" s="5" t="s">
        <v>3297</v>
      </c>
      <c r="E1584" s="5" t="s">
        <v>3298</v>
      </c>
      <c r="F1584" s="5">
        <v>8</v>
      </c>
      <c r="G1584" s="5">
        <v>48</v>
      </c>
    </row>
    <row r="1585" spans="1:7" ht="16.5">
      <c r="A1585" s="5" t="s">
        <v>6739</v>
      </c>
      <c r="B1585" s="10" t="s">
        <v>6740</v>
      </c>
      <c r="C1585" s="5" t="s">
        <v>1561</v>
      </c>
      <c r="D1585" s="5" t="s">
        <v>3297</v>
      </c>
      <c r="E1585" s="5" t="s">
        <v>3298</v>
      </c>
      <c r="F1585" s="5">
        <v>8</v>
      </c>
      <c r="G1585" s="5">
        <v>48</v>
      </c>
    </row>
    <row r="1586" spans="1:7" ht="16.5">
      <c r="A1586" s="5" t="s">
        <v>6741</v>
      </c>
      <c r="B1586" s="10" t="s">
        <v>6742</v>
      </c>
      <c r="C1586" s="5" t="s">
        <v>1562</v>
      </c>
      <c r="D1586" s="5" t="s">
        <v>3297</v>
      </c>
      <c r="E1586" s="5" t="s">
        <v>3298</v>
      </c>
      <c r="F1586" s="5">
        <v>8</v>
      </c>
      <c r="G1586" s="5">
        <v>48</v>
      </c>
    </row>
    <row r="1587" spans="1:7" ht="16.5">
      <c r="A1587" s="5" t="s">
        <v>6743</v>
      </c>
      <c r="B1587" s="10" t="s">
        <v>6744</v>
      </c>
      <c r="C1587" s="5" t="s">
        <v>1563</v>
      </c>
      <c r="D1587" s="5" t="s">
        <v>3297</v>
      </c>
      <c r="E1587" s="5" t="s">
        <v>3298</v>
      </c>
      <c r="F1587" s="5">
        <v>8</v>
      </c>
      <c r="G1587" s="5">
        <v>48</v>
      </c>
    </row>
    <row r="1588" spans="1:7" ht="16.5">
      <c r="A1588" s="5" t="s">
        <v>6745</v>
      </c>
      <c r="B1588" s="10" t="s">
        <v>6746</v>
      </c>
      <c r="C1588" s="5" t="s">
        <v>1564</v>
      </c>
      <c r="D1588" s="5" t="s">
        <v>3297</v>
      </c>
      <c r="E1588" s="5" t="s">
        <v>3298</v>
      </c>
      <c r="F1588" s="5">
        <v>8</v>
      </c>
      <c r="G1588" s="5">
        <v>48</v>
      </c>
    </row>
    <row r="1589" spans="1:7" ht="16.5">
      <c r="A1589" s="5" t="s">
        <v>6747</v>
      </c>
      <c r="B1589" s="10" t="s">
        <v>6748</v>
      </c>
      <c r="C1589" s="5" t="s">
        <v>1565</v>
      </c>
      <c r="D1589" s="5" t="s">
        <v>3297</v>
      </c>
      <c r="E1589" s="5" t="s">
        <v>3298</v>
      </c>
      <c r="F1589" s="5">
        <v>8</v>
      </c>
      <c r="G1589" s="5">
        <v>48</v>
      </c>
    </row>
    <row r="1590" spans="1:7" ht="16.5">
      <c r="A1590" s="5" t="s">
        <v>6749</v>
      </c>
      <c r="B1590" s="10" t="s">
        <v>6750</v>
      </c>
      <c r="C1590" s="5" t="s">
        <v>1566</v>
      </c>
      <c r="D1590" s="5" t="s">
        <v>3297</v>
      </c>
      <c r="E1590" s="5" t="s">
        <v>3298</v>
      </c>
      <c r="F1590" s="5">
        <v>8</v>
      </c>
      <c r="G1590" s="5">
        <v>48</v>
      </c>
    </row>
    <row r="1591" spans="1:7" ht="16.5">
      <c r="A1591" s="5" t="s">
        <v>6751</v>
      </c>
      <c r="B1591" s="10" t="s">
        <v>6752</v>
      </c>
      <c r="C1591" s="5" t="s">
        <v>1567</v>
      </c>
      <c r="D1591" s="5" t="s">
        <v>3297</v>
      </c>
      <c r="E1591" s="5" t="s">
        <v>3298</v>
      </c>
      <c r="F1591" s="5">
        <v>8</v>
      </c>
      <c r="G1591" s="5">
        <v>48</v>
      </c>
    </row>
    <row r="1592" spans="1:7" ht="16.5">
      <c r="A1592" s="5" t="s">
        <v>6753</v>
      </c>
      <c r="B1592" s="10" t="s">
        <v>6754</v>
      </c>
      <c r="C1592" s="5" t="s">
        <v>1568</v>
      </c>
      <c r="D1592" s="5" t="s">
        <v>3297</v>
      </c>
      <c r="E1592" s="5" t="s">
        <v>3298</v>
      </c>
      <c r="F1592" s="5">
        <v>8</v>
      </c>
      <c r="G1592" s="5">
        <v>48</v>
      </c>
    </row>
    <row r="1593" spans="1:7" ht="16.5">
      <c r="A1593" s="5" t="s">
        <v>6755</v>
      </c>
      <c r="B1593" s="10" t="s">
        <v>6756</v>
      </c>
      <c r="C1593" s="5" t="s">
        <v>1569</v>
      </c>
      <c r="D1593" s="5" t="s">
        <v>3297</v>
      </c>
      <c r="E1593" s="5" t="s">
        <v>3298</v>
      </c>
      <c r="F1593" s="5">
        <v>8</v>
      </c>
      <c r="G1593" s="5">
        <v>48</v>
      </c>
    </row>
    <row r="1594" spans="1:7" ht="16.5">
      <c r="A1594" s="5" t="s">
        <v>6757</v>
      </c>
      <c r="B1594" s="10" t="s">
        <v>6758</v>
      </c>
      <c r="C1594" s="5" t="s">
        <v>1570</v>
      </c>
      <c r="D1594" s="5" t="s">
        <v>3297</v>
      </c>
      <c r="E1594" s="5" t="s">
        <v>3298</v>
      </c>
      <c r="F1594" s="5">
        <v>8</v>
      </c>
      <c r="G1594" s="5">
        <v>48</v>
      </c>
    </row>
    <row r="1595" spans="1:7" ht="16.5">
      <c r="A1595" s="5" t="s">
        <v>6759</v>
      </c>
      <c r="B1595" s="10" t="s">
        <v>6760</v>
      </c>
      <c r="C1595" s="5" t="s">
        <v>1571</v>
      </c>
      <c r="D1595" s="5" t="s">
        <v>3297</v>
      </c>
      <c r="E1595" s="5" t="s">
        <v>3298</v>
      </c>
      <c r="F1595" s="5">
        <v>8</v>
      </c>
      <c r="G1595" s="5">
        <v>48</v>
      </c>
    </row>
    <row r="1596" spans="1:7" ht="16.5">
      <c r="A1596" s="5" t="s">
        <v>6761</v>
      </c>
      <c r="B1596" s="10" t="s">
        <v>6762</v>
      </c>
      <c r="C1596" s="5" t="s">
        <v>1572</v>
      </c>
      <c r="D1596" s="5" t="s">
        <v>3297</v>
      </c>
      <c r="E1596" s="5" t="s">
        <v>3298</v>
      </c>
      <c r="F1596" s="5">
        <v>8</v>
      </c>
      <c r="G1596" s="5">
        <v>48</v>
      </c>
    </row>
    <row r="1597" spans="1:7" ht="16.5">
      <c r="A1597" s="5" t="s">
        <v>6763</v>
      </c>
      <c r="B1597" s="10" t="s">
        <v>6764</v>
      </c>
      <c r="C1597" s="5" t="s">
        <v>1573</v>
      </c>
      <c r="D1597" s="5" t="s">
        <v>3297</v>
      </c>
      <c r="E1597" s="5" t="s">
        <v>3298</v>
      </c>
      <c r="F1597" s="5">
        <v>8</v>
      </c>
      <c r="G1597" s="5">
        <v>48</v>
      </c>
    </row>
    <row r="1598" spans="1:7" ht="16.5">
      <c r="A1598" s="5" t="s">
        <v>6765</v>
      </c>
      <c r="B1598" s="10" t="s">
        <v>6766</v>
      </c>
      <c r="C1598" s="5" t="s">
        <v>1574</v>
      </c>
      <c r="D1598" s="5" t="s">
        <v>3297</v>
      </c>
      <c r="E1598" s="5" t="s">
        <v>3298</v>
      </c>
      <c r="F1598" s="5">
        <v>8</v>
      </c>
      <c r="G1598" s="5">
        <v>48</v>
      </c>
    </row>
    <row r="1599" spans="1:7" ht="16.5">
      <c r="A1599" s="5" t="s">
        <v>6767</v>
      </c>
      <c r="B1599" s="10" t="s">
        <v>6768</v>
      </c>
      <c r="C1599" s="5" t="s">
        <v>1575</v>
      </c>
      <c r="D1599" s="5" t="s">
        <v>3297</v>
      </c>
      <c r="E1599" s="5" t="s">
        <v>3298</v>
      </c>
      <c r="F1599" s="5">
        <v>8</v>
      </c>
      <c r="G1599" s="5">
        <v>48</v>
      </c>
    </row>
    <row r="1600" spans="1:7" ht="16.5">
      <c r="A1600" s="5" t="s">
        <v>6769</v>
      </c>
      <c r="B1600" s="10" t="s">
        <v>6770</v>
      </c>
      <c r="C1600" s="5" t="s">
        <v>1576</v>
      </c>
      <c r="D1600" s="5" t="s">
        <v>3297</v>
      </c>
      <c r="E1600" s="5" t="s">
        <v>3298</v>
      </c>
      <c r="F1600" s="5">
        <v>8</v>
      </c>
      <c r="G1600" s="5">
        <v>48</v>
      </c>
    </row>
    <row r="1601" spans="1:7" ht="16.5">
      <c r="A1601" s="5" t="s">
        <v>6771</v>
      </c>
      <c r="B1601" s="10" t="s">
        <v>6772</v>
      </c>
      <c r="C1601" s="5" t="s">
        <v>1577</v>
      </c>
      <c r="D1601" s="5" t="s">
        <v>3297</v>
      </c>
      <c r="E1601" s="5" t="s">
        <v>3298</v>
      </c>
      <c r="F1601" s="5">
        <v>8</v>
      </c>
      <c r="G1601" s="5">
        <v>48</v>
      </c>
    </row>
    <row r="1602" spans="1:7" ht="16.5">
      <c r="A1602" s="5" t="s">
        <v>6773</v>
      </c>
      <c r="B1602" s="10" t="s">
        <v>6774</v>
      </c>
      <c r="C1602" s="5" t="s">
        <v>1578</v>
      </c>
      <c r="D1602" s="5" t="s">
        <v>3297</v>
      </c>
      <c r="E1602" s="5" t="s">
        <v>3298</v>
      </c>
      <c r="F1602" s="5">
        <v>8</v>
      </c>
      <c r="G1602" s="5">
        <v>48</v>
      </c>
    </row>
    <row r="1603" spans="1:7" ht="16.5">
      <c r="A1603" s="5" t="s">
        <v>6775</v>
      </c>
      <c r="B1603" s="10" t="s">
        <v>6776</v>
      </c>
      <c r="C1603" s="5" t="s">
        <v>1579</v>
      </c>
      <c r="D1603" s="5" t="s">
        <v>3297</v>
      </c>
      <c r="E1603" s="5" t="s">
        <v>3298</v>
      </c>
      <c r="F1603" s="5">
        <v>8</v>
      </c>
      <c r="G1603" s="5">
        <v>48</v>
      </c>
    </row>
    <row r="1604" spans="1:7" ht="16.5">
      <c r="A1604" s="5" t="s">
        <v>6777</v>
      </c>
      <c r="B1604" s="10" t="s">
        <v>6778</v>
      </c>
      <c r="C1604" s="5" t="s">
        <v>1580</v>
      </c>
      <c r="D1604" s="5" t="s">
        <v>3297</v>
      </c>
      <c r="E1604" s="5" t="s">
        <v>3298</v>
      </c>
      <c r="F1604" s="5">
        <v>19.8</v>
      </c>
      <c r="G1604" s="5">
        <v>119</v>
      </c>
    </row>
    <row r="1605" spans="1:7" ht="16.5">
      <c r="A1605" s="5" t="s">
        <v>6779</v>
      </c>
      <c r="B1605" s="10" t="s">
        <v>6780</v>
      </c>
      <c r="C1605" s="5" t="s">
        <v>1581</v>
      </c>
      <c r="D1605" s="5" t="s">
        <v>3297</v>
      </c>
      <c r="E1605" s="5" t="s">
        <v>3298</v>
      </c>
      <c r="F1605" s="5">
        <v>36</v>
      </c>
      <c r="G1605" s="5">
        <v>216</v>
      </c>
    </row>
    <row r="1606" spans="1:7" ht="16.5">
      <c r="A1606" s="5" t="s">
        <v>6781</v>
      </c>
      <c r="B1606" s="10" t="s">
        <v>6782</v>
      </c>
      <c r="C1606" s="5" t="s">
        <v>1582</v>
      </c>
      <c r="D1606" s="5" t="s">
        <v>3297</v>
      </c>
      <c r="E1606" s="5" t="s">
        <v>3298</v>
      </c>
      <c r="F1606" s="5">
        <v>12</v>
      </c>
      <c r="G1606" s="5">
        <v>72</v>
      </c>
    </row>
    <row r="1607" spans="1:7" ht="16.5">
      <c r="A1607" s="5" t="s">
        <v>6783</v>
      </c>
      <c r="B1607" s="10" t="s">
        <v>6784</v>
      </c>
      <c r="C1607" s="5" t="s">
        <v>1583</v>
      </c>
      <c r="D1607" s="5" t="s">
        <v>3297</v>
      </c>
      <c r="E1607" s="5" t="s">
        <v>3298</v>
      </c>
      <c r="F1607" s="5">
        <v>32</v>
      </c>
      <c r="G1607" s="5">
        <v>192</v>
      </c>
    </row>
    <row r="1608" spans="1:7" ht="16.5">
      <c r="A1608" s="5" t="s">
        <v>6785</v>
      </c>
      <c r="B1608" s="10" t="s">
        <v>6786</v>
      </c>
      <c r="C1608" s="5" t="s">
        <v>1584</v>
      </c>
      <c r="D1608" s="5" t="s">
        <v>3297</v>
      </c>
      <c r="E1608" s="5" t="s">
        <v>3298</v>
      </c>
      <c r="F1608" s="5">
        <v>17.8</v>
      </c>
      <c r="G1608" s="5">
        <v>107</v>
      </c>
    </row>
    <row r="1609" spans="1:7" ht="16.5">
      <c r="A1609" s="5" t="s">
        <v>6787</v>
      </c>
      <c r="B1609" s="10" t="s">
        <v>6788</v>
      </c>
      <c r="C1609" s="5" t="s">
        <v>1585</v>
      </c>
      <c r="D1609" s="5" t="s">
        <v>3297</v>
      </c>
      <c r="E1609" s="5" t="s">
        <v>3298</v>
      </c>
      <c r="F1609" s="5">
        <v>16</v>
      </c>
      <c r="G1609" s="5">
        <v>96</v>
      </c>
    </row>
    <row r="1610" spans="1:7" ht="16.5">
      <c r="A1610" s="5" t="s">
        <v>6789</v>
      </c>
      <c r="B1610" s="10" t="s">
        <v>6790</v>
      </c>
      <c r="C1610" s="5" t="s">
        <v>1586</v>
      </c>
      <c r="D1610" s="5" t="s">
        <v>3297</v>
      </c>
      <c r="E1610" s="5" t="s">
        <v>3298</v>
      </c>
      <c r="F1610" s="5">
        <v>16</v>
      </c>
      <c r="G1610" s="5">
        <v>96</v>
      </c>
    </row>
    <row r="1611" spans="1:7" ht="16.5">
      <c r="A1611" s="5" t="s">
        <v>6791</v>
      </c>
      <c r="B1611" s="10" t="s">
        <v>6792</v>
      </c>
      <c r="C1611" s="5" t="s">
        <v>1587</v>
      </c>
      <c r="D1611" s="5" t="s">
        <v>3297</v>
      </c>
      <c r="E1611" s="5" t="s">
        <v>3298</v>
      </c>
      <c r="F1611" s="5">
        <v>35</v>
      </c>
      <c r="G1611" s="5">
        <v>210</v>
      </c>
    </row>
    <row r="1612" spans="1:7" ht="16.5">
      <c r="A1612" s="5" t="s">
        <v>6793</v>
      </c>
      <c r="B1612" s="10" t="s">
        <v>6794</v>
      </c>
      <c r="C1612" s="5" t="s">
        <v>1588</v>
      </c>
      <c r="D1612" s="5" t="s">
        <v>3297</v>
      </c>
      <c r="E1612" s="5" t="s">
        <v>3298</v>
      </c>
      <c r="F1612" s="5">
        <v>34</v>
      </c>
      <c r="G1612" s="5">
        <v>204</v>
      </c>
    </row>
    <row r="1613" spans="1:7" ht="16.5">
      <c r="A1613" s="5" t="s">
        <v>6795</v>
      </c>
      <c r="B1613" s="10" t="s">
        <v>6796</v>
      </c>
      <c r="C1613" s="5" t="s">
        <v>1589</v>
      </c>
      <c r="D1613" s="5" t="s">
        <v>6797</v>
      </c>
      <c r="E1613" s="5" t="s">
        <v>6798</v>
      </c>
      <c r="F1613" s="5">
        <v>118</v>
      </c>
      <c r="G1613" s="5">
        <v>708</v>
      </c>
    </row>
    <row r="1614" spans="1:7" ht="16.5">
      <c r="A1614" s="5" t="s">
        <v>6799</v>
      </c>
      <c r="B1614" s="10" t="s">
        <v>6800</v>
      </c>
      <c r="C1614" s="5" t="s">
        <v>1590</v>
      </c>
      <c r="D1614" s="5" t="s">
        <v>6801</v>
      </c>
      <c r="E1614" s="5" t="s">
        <v>6802</v>
      </c>
      <c r="F1614" s="5">
        <v>26</v>
      </c>
      <c r="G1614" s="5">
        <v>156</v>
      </c>
    </row>
    <row r="1615" spans="1:7" ht="16.5">
      <c r="A1615" s="5" t="s">
        <v>6803</v>
      </c>
      <c r="B1615" s="10" t="s">
        <v>6804</v>
      </c>
      <c r="C1615" s="5" t="s">
        <v>1591</v>
      </c>
      <c r="D1615" s="5" t="s">
        <v>6805</v>
      </c>
      <c r="E1615" s="5" t="s">
        <v>3855</v>
      </c>
      <c r="F1615" s="5">
        <v>29.8</v>
      </c>
      <c r="G1615" s="5">
        <v>179</v>
      </c>
    </row>
    <row r="1616" spans="1:7" ht="16.5">
      <c r="A1616" s="5" t="s">
        <v>6806</v>
      </c>
      <c r="B1616" s="10" t="s">
        <v>6807</v>
      </c>
      <c r="C1616" s="5" t="s">
        <v>6808</v>
      </c>
      <c r="D1616" s="5" t="s">
        <v>6809</v>
      </c>
      <c r="E1616" s="5" t="s">
        <v>6407</v>
      </c>
      <c r="F1616" s="5">
        <v>29.8</v>
      </c>
      <c r="G1616" s="5">
        <v>179</v>
      </c>
    </row>
    <row r="1617" spans="1:7" ht="16.5">
      <c r="A1617" s="5" t="s">
        <v>6810</v>
      </c>
      <c r="B1617" s="10" t="s">
        <v>6811</v>
      </c>
      <c r="C1617" s="5" t="s">
        <v>1592</v>
      </c>
      <c r="D1617" s="5" t="s">
        <v>6812</v>
      </c>
      <c r="E1617" s="5" t="s">
        <v>6813</v>
      </c>
      <c r="F1617" s="5">
        <v>15</v>
      </c>
      <c r="G1617" s="5">
        <v>90</v>
      </c>
    </row>
    <row r="1618" spans="1:7" ht="16.5">
      <c r="A1618" s="5" t="s">
        <v>6814</v>
      </c>
      <c r="B1618" s="10" t="s">
        <v>6815</v>
      </c>
      <c r="C1618" s="5" t="s">
        <v>1593</v>
      </c>
      <c r="D1618" s="5" t="s">
        <v>6816</v>
      </c>
      <c r="E1618" s="5" t="s">
        <v>6813</v>
      </c>
      <c r="F1618" s="5">
        <v>39</v>
      </c>
      <c r="G1618" s="5">
        <v>234</v>
      </c>
    </row>
    <row r="1619" spans="1:7" ht="16.5">
      <c r="A1619" s="5" t="s">
        <v>6817</v>
      </c>
      <c r="B1619" s="10" t="s">
        <v>6818</v>
      </c>
      <c r="C1619" s="5" t="s">
        <v>1594</v>
      </c>
      <c r="D1619" s="5" t="s">
        <v>6819</v>
      </c>
      <c r="E1619" s="5" t="s">
        <v>6813</v>
      </c>
      <c r="F1619" s="5">
        <v>25</v>
      </c>
      <c r="G1619" s="5">
        <v>150</v>
      </c>
    </row>
    <row r="1620" spans="1:7" ht="16.5">
      <c r="A1620" s="5" t="s">
        <v>6820</v>
      </c>
      <c r="B1620" s="10" t="s">
        <v>6821</v>
      </c>
      <c r="C1620" s="5" t="s">
        <v>1595</v>
      </c>
      <c r="D1620" s="5" t="s">
        <v>6822</v>
      </c>
      <c r="E1620" s="5" t="s">
        <v>6813</v>
      </c>
      <c r="F1620" s="5">
        <v>18</v>
      </c>
      <c r="G1620" s="5">
        <v>108</v>
      </c>
    </row>
    <row r="1621" spans="1:7" ht="16.5">
      <c r="A1621" s="5" t="s">
        <v>6823</v>
      </c>
      <c r="B1621" s="10" t="s">
        <v>6824</v>
      </c>
      <c r="C1621" s="5" t="s">
        <v>1596</v>
      </c>
      <c r="D1621" s="5" t="s">
        <v>6825</v>
      </c>
      <c r="E1621" s="5" t="s">
        <v>6826</v>
      </c>
      <c r="F1621" s="5">
        <v>29</v>
      </c>
      <c r="G1621" s="5">
        <v>174</v>
      </c>
    </row>
    <row r="1622" spans="1:7" ht="16.5">
      <c r="A1622" s="5" t="s">
        <v>6827</v>
      </c>
      <c r="B1622" s="10" t="s">
        <v>6828</v>
      </c>
      <c r="C1622" s="5" t="s">
        <v>1597</v>
      </c>
      <c r="D1622" s="5" t="s">
        <v>6829</v>
      </c>
      <c r="E1622" s="5" t="s">
        <v>6826</v>
      </c>
      <c r="F1622" s="5">
        <v>29.8</v>
      </c>
      <c r="G1622" s="5">
        <v>179</v>
      </c>
    </row>
    <row r="1623" spans="1:7" ht="16.5">
      <c r="A1623" s="5" t="s">
        <v>6830</v>
      </c>
      <c r="B1623" s="10" t="s">
        <v>6831</v>
      </c>
      <c r="C1623" s="5" t="s">
        <v>1598</v>
      </c>
      <c r="D1623" s="5" t="s">
        <v>6832</v>
      </c>
      <c r="E1623" s="5" t="s">
        <v>6833</v>
      </c>
      <c r="F1623" s="5">
        <v>58</v>
      </c>
      <c r="G1623" s="5">
        <v>348</v>
      </c>
    </row>
    <row r="1624" spans="1:7" ht="16.5">
      <c r="A1624" s="5" t="s">
        <v>6834</v>
      </c>
      <c r="B1624" s="10" t="s">
        <v>6835</v>
      </c>
      <c r="C1624" s="5" t="s">
        <v>1599</v>
      </c>
      <c r="D1624" s="5" t="s">
        <v>6836</v>
      </c>
      <c r="E1624" s="5" t="s">
        <v>6833</v>
      </c>
      <c r="F1624" s="5">
        <v>37</v>
      </c>
      <c r="G1624" s="5">
        <v>222</v>
      </c>
    </row>
    <row r="1625" spans="1:7" ht="16.5">
      <c r="A1625" s="5" t="s">
        <v>6837</v>
      </c>
      <c r="B1625" s="10" t="s">
        <v>6838</v>
      </c>
      <c r="C1625" s="5" t="s">
        <v>1600</v>
      </c>
      <c r="D1625" s="5" t="s">
        <v>2236</v>
      </c>
      <c r="E1625" s="5" t="s">
        <v>6839</v>
      </c>
      <c r="F1625" s="5">
        <v>268</v>
      </c>
      <c r="G1625" s="5">
        <v>1608</v>
      </c>
    </row>
    <row r="1626" spans="1:7" ht="16.5">
      <c r="A1626" s="5" t="s">
        <v>6840</v>
      </c>
      <c r="B1626" s="10" t="s">
        <v>6841</v>
      </c>
      <c r="C1626" s="5" t="s">
        <v>1120</v>
      </c>
      <c r="D1626" s="5" t="s">
        <v>6842</v>
      </c>
      <c r="E1626" s="5" t="s">
        <v>6843</v>
      </c>
      <c r="F1626" s="5">
        <v>36</v>
      </c>
      <c r="G1626" s="5">
        <v>216</v>
      </c>
    </row>
    <row r="1627" spans="1:7" ht="16.5">
      <c r="A1627" s="5" t="s">
        <v>6844</v>
      </c>
      <c r="B1627" s="10" t="s">
        <v>6845</v>
      </c>
      <c r="C1627" s="5" t="s">
        <v>1601</v>
      </c>
      <c r="D1627" s="5" t="s">
        <v>6846</v>
      </c>
      <c r="E1627" s="5" t="s">
        <v>6843</v>
      </c>
      <c r="F1627" s="5">
        <v>38</v>
      </c>
      <c r="G1627" s="5">
        <v>228</v>
      </c>
    </row>
    <row r="1628" spans="1:7" ht="16.5">
      <c r="A1628" s="5" t="s">
        <v>6847</v>
      </c>
      <c r="B1628" s="10" t="s">
        <v>6848</v>
      </c>
      <c r="C1628" s="5" t="s">
        <v>1602</v>
      </c>
      <c r="D1628" s="5" t="s">
        <v>6849</v>
      </c>
      <c r="E1628" s="5" t="s">
        <v>6850</v>
      </c>
      <c r="F1628" s="5">
        <v>29.8</v>
      </c>
      <c r="G1628" s="5">
        <v>179</v>
      </c>
    </row>
    <row r="1629" spans="1:7" ht="16.5">
      <c r="A1629" s="5" t="s">
        <v>6851</v>
      </c>
      <c r="B1629" s="10" t="s">
        <v>6852</v>
      </c>
      <c r="C1629" s="5" t="s">
        <v>1603</v>
      </c>
      <c r="D1629" s="5" t="s">
        <v>6853</v>
      </c>
      <c r="E1629" s="5" t="s">
        <v>6850</v>
      </c>
      <c r="F1629" s="5">
        <v>29.8</v>
      </c>
      <c r="G1629" s="5">
        <v>179</v>
      </c>
    </row>
    <row r="1630" spans="1:7" ht="16.5">
      <c r="A1630" s="5" t="s">
        <v>6854</v>
      </c>
      <c r="B1630" s="10" t="s">
        <v>6855</v>
      </c>
      <c r="C1630" s="5" t="s">
        <v>1604</v>
      </c>
      <c r="D1630" s="5" t="s">
        <v>6856</v>
      </c>
      <c r="E1630" s="5" t="s">
        <v>6850</v>
      </c>
      <c r="F1630" s="5">
        <v>29.8</v>
      </c>
      <c r="G1630" s="5">
        <v>179</v>
      </c>
    </row>
    <row r="1631" spans="1:7" ht="16.5">
      <c r="A1631" s="5" t="s">
        <v>6857</v>
      </c>
      <c r="B1631" s="10" t="s">
        <v>6858</v>
      </c>
      <c r="C1631" s="5" t="s">
        <v>1605</v>
      </c>
      <c r="D1631" s="5" t="s">
        <v>6859</v>
      </c>
      <c r="E1631" s="5" t="s">
        <v>6860</v>
      </c>
      <c r="F1631" s="5">
        <v>68</v>
      </c>
      <c r="G1631" s="5">
        <v>408</v>
      </c>
    </row>
    <row r="1632" spans="1:7" ht="16.5">
      <c r="A1632" s="5" t="s">
        <v>6861</v>
      </c>
      <c r="B1632" s="10" t="s">
        <v>6862</v>
      </c>
      <c r="C1632" s="5" t="s">
        <v>6863</v>
      </c>
      <c r="D1632" s="5" t="s">
        <v>6864</v>
      </c>
      <c r="E1632" s="5" t="s">
        <v>6860</v>
      </c>
      <c r="F1632" s="5">
        <v>30</v>
      </c>
      <c r="G1632" s="5">
        <v>180</v>
      </c>
    </row>
    <row r="1633" spans="1:7" ht="16.5">
      <c r="A1633" s="5" t="s">
        <v>6865</v>
      </c>
      <c r="B1633" s="10" t="s">
        <v>6866</v>
      </c>
      <c r="C1633" s="5" t="s">
        <v>1606</v>
      </c>
      <c r="D1633" s="5" t="s">
        <v>6867</v>
      </c>
      <c r="E1633" s="5" t="s">
        <v>6868</v>
      </c>
      <c r="F1633" s="5">
        <v>28</v>
      </c>
      <c r="G1633" s="5">
        <v>168</v>
      </c>
    </row>
    <row r="1634" spans="1:7" ht="16.5">
      <c r="A1634" s="5" t="s">
        <v>6869</v>
      </c>
      <c r="B1634" s="10" t="s">
        <v>6870</v>
      </c>
      <c r="C1634" s="5" t="s">
        <v>1607</v>
      </c>
      <c r="D1634" s="5" t="s">
        <v>6871</v>
      </c>
      <c r="E1634" s="5" t="s">
        <v>6868</v>
      </c>
      <c r="F1634" s="5">
        <v>28</v>
      </c>
      <c r="G1634" s="5">
        <v>168</v>
      </c>
    </row>
    <row r="1635" spans="1:7" ht="16.5">
      <c r="A1635" s="5" t="s">
        <v>6872</v>
      </c>
      <c r="B1635" s="10" t="s">
        <v>6873</v>
      </c>
      <c r="C1635" s="5" t="s">
        <v>1608</v>
      </c>
      <c r="D1635" s="5" t="s">
        <v>6874</v>
      </c>
      <c r="E1635" s="5" t="s">
        <v>6868</v>
      </c>
      <c r="F1635" s="5">
        <v>25</v>
      </c>
      <c r="G1635" s="5">
        <v>150</v>
      </c>
    </row>
    <row r="1636" spans="1:7" ht="16.5">
      <c r="A1636" s="5" t="s">
        <v>6875</v>
      </c>
      <c r="B1636" s="10" t="s">
        <v>6876</v>
      </c>
      <c r="C1636" s="5" t="s">
        <v>1609</v>
      </c>
      <c r="D1636" s="5" t="s">
        <v>6877</v>
      </c>
      <c r="E1636" s="5" t="s">
        <v>6868</v>
      </c>
      <c r="F1636" s="5">
        <v>20</v>
      </c>
      <c r="G1636" s="5">
        <v>120</v>
      </c>
    </row>
    <row r="1637" spans="1:7" ht="16.5">
      <c r="A1637" s="5" t="s">
        <v>6878</v>
      </c>
      <c r="B1637" s="10" t="s">
        <v>6879</v>
      </c>
      <c r="C1637" s="5" t="s">
        <v>1610</v>
      </c>
      <c r="D1637" s="5" t="s">
        <v>6880</v>
      </c>
      <c r="E1637" s="5" t="s">
        <v>6868</v>
      </c>
      <c r="F1637" s="5">
        <v>35</v>
      </c>
      <c r="G1637" s="5">
        <v>210</v>
      </c>
    </row>
    <row r="1638" spans="1:7" ht="16.5">
      <c r="A1638" s="5" t="s">
        <v>6881</v>
      </c>
      <c r="B1638" s="10" t="s">
        <v>6882</v>
      </c>
      <c r="C1638" s="5" t="s">
        <v>1611</v>
      </c>
      <c r="D1638" s="5" t="s">
        <v>6883</v>
      </c>
      <c r="E1638" s="5" t="s">
        <v>6868</v>
      </c>
      <c r="F1638" s="5">
        <v>19.8</v>
      </c>
      <c r="G1638" s="5">
        <v>119</v>
      </c>
    </row>
    <row r="1639" spans="1:7" ht="16.5">
      <c r="A1639" s="5" t="s">
        <v>6884</v>
      </c>
      <c r="B1639" s="10" t="s">
        <v>6885</v>
      </c>
      <c r="C1639" s="5" t="s">
        <v>1612</v>
      </c>
      <c r="D1639" s="5" t="s">
        <v>6886</v>
      </c>
      <c r="E1639" s="5" t="s">
        <v>6868</v>
      </c>
      <c r="F1639" s="5">
        <v>26</v>
      </c>
      <c r="G1639" s="5">
        <v>156</v>
      </c>
    </row>
    <row r="1640" spans="1:7" ht="16.5">
      <c r="A1640" s="5" t="s">
        <v>6887</v>
      </c>
      <c r="B1640" s="10" t="s">
        <v>6888</v>
      </c>
      <c r="C1640" s="5" t="s">
        <v>1613</v>
      </c>
      <c r="D1640" s="5" t="s">
        <v>6889</v>
      </c>
      <c r="E1640" s="5" t="s">
        <v>6868</v>
      </c>
      <c r="F1640" s="5">
        <v>32</v>
      </c>
      <c r="G1640" s="5">
        <v>192</v>
      </c>
    </row>
    <row r="1641" spans="1:7" ht="16.5">
      <c r="A1641" s="5" t="s">
        <v>6890</v>
      </c>
      <c r="B1641" s="10" t="s">
        <v>6891</v>
      </c>
      <c r="C1641" s="5" t="s">
        <v>1614</v>
      </c>
      <c r="D1641" s="5" t="s">
        <v>6892</v>
      </c>
      <c r="E1641" s="5" t="s">
        <v>6868</v>
      </c>
      <c r="F1641" s="5">
        <v>21</v>
      </c>
      <c r="G1641" s="5">
        <v>126</v>
      </c>
    </row>
    <row r="1642" spans="1:7" ht="16.5">
      <c r="A1642" s="5" t="s">
        <v>6893</v>
      </c>
      <c r="B1642" s="10" t="s">
        <v>6894</v>
      </c>
      <c r="C1642" s="5" t="s">
        <v>1615</v>
      </c>
      <c r="D1642" s="5" t="s">
        <v>6895</v>
      </c>
      <c r="E1642" s="5" t="s">
        <v>6868</v>
      </c>
      <c r="F1642" s="5">
        <v>42</v>
      </c>
      <c r="G1642" s="5">
        <v>252</v>
      </c>
    </row>
    <row r="1643" spans="1:7" ht="16.5">
      <c r="A1643" s="5" t="s">
        <v>6896</v>
      </c>
      <c r="B1643" s="10" t="s">
        <v>6897</v>
      </c>
      <c r="C1643" s="5" t="s">
        <v>1616</v>
      </c>
      <c r="D1643" s="5" t="s">
        <v>6898</v>
      </c>
      <c r="E1643" s="5" t="s">
        <v>6868</v>
      </c>
      <c r="F1643" s="5">
        <v>37</v>
      </c>
      <c r="G1643" s="5">
        <v>222</v>
      </c>
    </row>
    <row r="1644" spans="1:7" ht="16.5">
      <c r="A1644" s="5" t="s">
        <v>6899</v>
      </c>
      <c r="B1644" s="10" t="s">
        <v>6900</v>
      </c>
      <c r="C1644" s="5" t="s">
        <v>1617</v>
      </c>
      <c r="D1644" s="5" t="s">
        <v>6901</v>
      </c>
      <c r="E1644" s="5" t="s">
        <v>6868</v>
      </c>
      <c r="F1644" s="5">
        <v>80</v>
      </c>
      <c r="G1644" s="5">
        <v>480</v>
      </c>
    </row>
    <row r="1645" spans="1:7" ht="16.5">
      <c r="A1645" s="5" t="s">
        <v>6902</v>
      </c>
      <c r="B1645" s="10" t="s">
        <v>6903</v>
      </c>
      <c r="C1645" s="5" t="s">
        <v>1618</v>
      </c>
      <c r="D1645" s="5" t="s">
        <v>6904</v>
      </c>
      <c r="E1645" s="5" t="s">
        <v>6868</v>
      </c>
      <c r="F1645" s="5">
        <v>37</v>
      </c>
      <c r="G1645" s="5">
        <v>222</v>
      </c>
    </row>
    <row r="1646" spans="1:7" ht="16.5">
      <c r="A1646" s="5" t="s">
        <v>6905</v>
      </c>
      <c r="B1646" s="10" t="s">
        <v>6906</v>
      </c>
      <c r="C1646" s="5" t="s">
        <v>1619</v>
      </c>
      <c r="D1646" s="5" t="s">
        <v>2337</v>
      </c>
      <c r="E1646" s="5" t="s">
        <v>6868</v>
      </c>
      <c r="F1646" s="5">
        <v>38</v>
      </c>
      <c r="G1646" s="5">
        <v>228</v>
      </c>
    </row>
    <row r="1647" spans="1:7" ht="16.5">
      <c r="A1647" s="5" t="s">
        <v>6907</v>
      </c>
      <c r="B1647" s="10" t="s">
        <v>6908</v>
      </c>
      <c r="C1647" s="5" t="s">
        <v>1620</v>
      </c>
      <c r="D1647" s="5" t="s">
        <v>2236</v>
      </c>
      <c r="E1647" s="5" t="s">
        <v>6868</v>
      </c>
      <c r="F1647" s="5">
        <v>32</v>
      </c>
      <c r="G1647" s="5">
        <v>192</v>
      </c>
    </row>
    <row r="1648" spans="1:7" ht="16.5">
      <c r="A1648" s="5" t="s">
        <v>6909</v>
      </c>
      <c r="B1648" s="10" t="s">
        <v>6910</v>
      </c>
      <c r="C1648" s="5" t="s">
        <v>1621</v>
      </c>
      <c r="D1648" s="5" t="s">
        <v>6911</v>
      </c>
      <c r="E1648" s="5" t="s">
        <v>6868</v>
      </c>
      <c r="F1648" s="5">
        <v>29.8</v>
      </c>
      <c r="G1648" s="5">
        <v>179</v>
      </c>
    </row>
    <row r="1649" spans="1:7" ht="16.5">
      <c r="A1649" s="5" t="s">
        <v>6912</v>
      </c>
      <c r="B1649" s="10" t="s">
        <v>6913</v>
      </c>
      <c r="C1649" s="5" t="s">
        <v>1622</v>
      </c>
      <c r="D1649" s="5" t="s">
        <v>6914</v>
      </c>
      <c r="E1649" s="5" t="s">
        <v>6868</v>
      </c>
      <c r="F1649" s="5">
        <v>39</v>
      </c>
      <c r="G1649" s="5">
        <v>234</v>
      </c>
    </row>
    <row r="1650" spans="1:7" ht="16.5">
      <c r="A1650" s="5" t="s">
        <v>6915</v>
      </c>
      <c r="B1650" s="10" t="s">
        <v>6916</v>
      </c>
      <c r="C1650" s="5" t="s">
        <v>1623</v>
      </c>
      <c r="D1650" s="5" t="s">
        <v>6917</v>
      </c>
      <c r="E1650" s="5" t="s">
        <v>6868</v>
      </c>
      <c r="F1650" s="5">
        <v>39.8</v>
      </c>
      <c r="G1650" s="5">
        <v>239</v>
      </c>
    </row>
    <row r="1651" spans="1:7" ht="16.5">
      <c r="A1651" s="5" t="s">
        <v>6918</v>
      </c>
      <c r="B1651" s="10" t="s">
        <v>6919</v>
      </c>
      <c r="C1651" s="5" t="s">
        <v>1624</v>
      </c>
      <c r="D1651" s="5" t="s">
        <v>6920</v>
      </c>
      <c r="E1651" s="5" t="s">
        <v>6868</v>
      </c>
      <c r="F1651" s="5">
        <v>32</v>
      </c>
      <c r="G1651" s="5">
        <v>192</v>
      </c>
    </row>
    <row r="1652" spans="1:7" ht="16.5">
      <c r="A1652" s="5" t="s">
        <v>6921</v>
      </c>
      <c r="B1652" s="10" t="s">
        <v>6922</v>
      </c>
      <c r="C1652" s="5" t="s">
        <v>1625</v>
      </c>
      <c r="D1652" s="5" t="s">
        <v>6923</v>
      </c>
      <c r="E1652" s="5" t="s">
        <v>6868</v>
      </c>
      <c r="F1652" s="5">
        <v>30</v>
      </c>
      <c r="G1652" s="5">
        <v>180</v>
      </c>
    </row>
    <row r="1653" spans="1:7" ht="16.5">
      <c r="A1653" s="5" t="s">
        <v>6924</v>
      </c>
      <c r="B1653" s="10" t="s">
        <v>6925</v>
      </c>
      <c r="C1653" s="5" t="s">
        <v>1626</v>
      </c>
      <c r="D1653" s="5" t="s">
        <v>6926</v>
      </c>
      <c r="E1653" s="5" t="s">
        <v>6927</v>
      </c>
      <c r="F1653" s="5">
        <v>42</v>
      </c>
      <c r="G1653" s="5">
        <v>252</v>
      </c>
    </row>
    <row r="1654" spans="1:7" ht="16.5">
      <c r="A1654" s="5" t="s">
        <v>6928</v>
      </c>
      <c r="B1654" s="10" t="s">
        <v>6929</v>
      </c>
      <c r="C1654" s="5" t="s">
        <v>1627</v>
      </c>
      <c r="D1654" s="5" t="s">
        <v>6930</v>
      </c>
      <c r="E1654" s="5" t="s">
        <v>6927</v>
      </c>
      <c r="F1654" s="5">
        <v>42</v>
      </c>
      <c r="G1654" s="5">
        <v>252</v>
      </c>
    </row>
    <row r="1655" spans="1:7" ht="16.5">
      <c r="A1655" s="5" t="s">
        <v>6931</v>
      </c>
      <c r="B1655" s="10" t="s">
        <v>6932</v>
      </c>
      <c r="C1655" s="5" t="s">
        <v>1628</v>
      </c>
      <c r="D1655" s="5" t="s">
        <v>6933</v>
      </c>
      <c r="E1655" s="5" t="s">
        <v>6927</v>
      </c>
      <c r="F1655" s="5">
        <v>42</v>
      </c>
      <c r="G1655" s="5">
        <v>252</v>
      </c>
    </row>
    <row r="1656" spans="1:7" ht="16.5">
      <c r="A1656" s="5" t="s">
        <v>6934</v>
      </c>
      <c r="B1656" s="10" t="s">
        <v>6935</v>
      </c>
      <c r="C1656" s="5" t="s">
        <v>1629</v>
      </c>
      <c r="D1656" s="5" t="s">
        <v>6936</v>
      </c>
      <c r="E1656" s="5" t="s">
        <v>6927</v>
      </c>
      <c r="F1656" s="5">
        <v>38</v>
      </c>
      <c r="G1656" s="5">
        <v>228</v>
      </c>
    </row>
    <row r="1657" spans="1:7" ht="16.5">
      <c r="A1657" s="5" t="s">
        <v>6937</v>
      </c>
      <c r="B1657" s="10" t="s">
        <v>6938</v>
      </c>
      <c r="C1657" s="5" t="s">
        <v>1630</v>
      </c>
      <c r="D1657" s="5" t="s">
        <v>6939</v>
      </c>
      <c r="E1657" s="5" t="s">
        <v>6940</v>
      </c>
      <c r="F1657" s="5">
        <v>19.8</v>
      </c>
      <c r="G1657" s="5">
        <v>119</v>
      </c>
    </row>
    <row r="1658" spans="1:7" ht="16.5">
      <c r="A1658" s="5" t="s">
        <v>6941</v>
      </c>
      <c r="B1658" s="10" t="s">
        <v>6942</v>
      </c>
      <c r="C1658" s="5" t="s">
        <v>1631</v>
      </c>
      <c r="D1658" s="5" t="s">
        <v>6943</v>
      </c>
      <c r="E1658" s="5" t="s">
        <v>6940</v>
      </c>
      <c r="F1658" s="5">
        <v>36</v>
      </c>
      <c r="G1658" s="5">
        <v>216</v>
      </c>
    </row>
    <row r="1659" spans="1:7" ht="16.5">
      <c r="A1659" s="5" t="s">
        <v>6944</v>
      </c>
      <c r="B1659" s="10" t="s">
        <v>6945</v>
      </c>
      <c r="C1659" s="5" t="s">
        <v>1632</v>
      </c>
      <c r="D1659" s="5" t="s">
        <v>6946</v>
      </c>
      <c r="E1659" s="5" t="s">
        <v>6940</v>
      </c>
      <c r="F1659" s="5">
        <v>26</v>
      </c>
      <c r="G1659" s="5">
        <v>156</v>
      </c>
    </row>
    <row r="1660" spans="1:7" ht="16.5">
      <c r="A1660" s="5" t="s">
        <v>6947</v>
      </c>
      <c r="B1660" s="10" t="s">
        <v>6948</v>
      </c>
      <c r="C1660" s="5" t="s">
        <v>1633</v>
      </c>
      <c r="D1660" s="5" t="s">
        <v>6949</v>
      </c>
      <c r="E1660" s="5" t="s">
        <v>6927</v>
      </c>
      <c r="F1660" s="5">
        <v>30</v>
      </c>
      <c r="G1660" s="5">
        <v>180</v>
      </c>
    </row>
    <row r="1661" spans="1:7" ht="16.5">
      <c r="A1661" s="5" t="s">
        <v>6950</v>
      </c>
      <c r="B1661" s="10" t="s">
        <v>6951</v>
      </c>
      <c r="C1661" s="5" t="s">
        <v>1634</v>
      </c>
      <c r="D1661" s="5" t="s">
        <v>3297</v>
      </c>
      <c r="E1661" s="5" t="s">
        <v>6952</v>
      </c>
      <c r="F1661" s="5">
        <v>20</v>
      </c>
      <c r="G1661" s="5">
        <v>120</v>
      </c>
    </row>
    <row r="1662" spans="1:7" ht="16.5">
      <c r="A1662" s="5" t="s">
        <v>6953</v>
      </c>
      <c r="B1662" s="10" t="s">
        <v>6954</v>
      </c>
      <c r="C1662" s="5" t="s">
        <v>1635</v>
      </c>
      <c r="D1662" s="5" t="s">
        <v>3297</v>
      </c>
      <c r="E1662" s="5" t="s">
        <v>6952</v>
      </c>
      <c r="F1662" s="5">
        <v>48</v>
      </c>
      <c r="G1662" s="5">
        <v>288</v>
      </c>
    </row>
    <row r="1663" spans="1:7" ht="16.5">
      <c r="A1663" s="5" t="s">
        <v>6955</v>
      </c>
      <c r="B1663" s="10" t="s">
        <v>6956</v>
      </c>
      <c r="C1663" s="5" t="s">
        <v>1636</v>
      </c>
      <c r="D1663" s="5" t="s">
        <v>3297</v>
      </c>
      <c r="E1663" s="5" t="s">
        <v>6952</v>
      </c>
      <c r="F1663" s="5">
        <v>36</v>
      </c>
      <c r="G1663" s="5">
        <v>216</v>
      </c>
    </row>
    <row r="1664" spans="1:7" ht="16.5">
      <c r="A1664" s="5" t="s">
        <v>6957</v>
      </c>
      <c r="B1664" s="10" t="s">
        <v>6958</v>
      </c>
      <c r="C1664" s="5" t="s">
        <v>1637</v>
      </c>
      <c r="D1664" s="5" t="s">
        <v>3297</v>
      </c>
      <c r="E1664" s="5" t="s">
        <v>6952</v>
      </c>
      <c r="F1664" s="5">
        <v>58</v>
      </c>
      <c r="G1664" s="5">
        <v>348</v>
      </c>
    </row>
    <row r="1665" spans="1:7" ht="16.5">
      <c r="A1665" s="5" t="s">
        <v>6959</v>
      </c>
      <c r="B1665" s="10" t="s">
        <v>6960</v>
      </c>
      <c r="C1665" s="5" t="s">
        <v>1638</v>
      </c>
      <c r="D1665" s="5" t="s">
        <v>6961</v>
      </c>
      <c r="E1665" s="5" t="s">
        <v>6709</v>
      </c>
      <c r="F1665" s="5">
        <v>36.8</v>
      </c>
      <c r="G1665" s="5">
        <v>221</v>
      </c>
    </row>
    <row r="1666" spans="1:7" ht="16.5">
      <c r="A1666" s="5" t="s">
        <v>6962</v>
      </c>
      <c r="B1666" s="10" t="s">
        <v>6963</v>
      </c>
      <c r="C1666" s="5" t="s">
        <v>1639</v>
      </c>
      <c r="D1666" s="5" t="s">
        <v>6964</v>
      </c>
      <c r="E1666" s="5" t="s">
        <v>6709</v>
      </c>
      <c r="F1666" s="5">
        <v>56</v>
      </c>
      <c r="G1666" s="5">
        <v>336</v>
      </c>
    </row>
    <row r="1667" spans="1:7" ht="16.5">
      <c r="A1667" s="5" t="s">
        <v>6965</v>
      </c>
      <c r="B1667" s="10" t="s">
        <v>6966</v>
      </c>
      <c r="C1667" s="5" t="s">
        <v>6967</v>
      </c>
      <c r="D1667" s="5" t="s">
        <v>6968</v>
      </c>
      <c r="E1667" s="5" t="s">
        <v>6709</v>
      </c>
      <c r="F1667" s="5">
        <v>25</v>
      </c>
      <c r="G1667" s="5">
        <v>150</v>
      </c>
    </row>
    <row r="1668" spans="1:7" ht="16.5">
      <c r="A1668" s="5" t="s">
        <v>6969</v>
      </c>
      <c r="B1668" s="10" t="s">
        <v>6970</v>
      </c>
      <c r="C1668" s="5" t="s">
        <v>1640</v>
      </c>
      <c r="D1668" s="5" t="s">
        <v>6971</v>
      </c>
      <c r="E1668" s="5" t="s">
        <v>6972</v>
      </c>
      <c r="F1668" s="5">
        <v>34</v>
      </c>
      <c r="G1668" s="5">
        <v>204</v>
      </c>
    </row>
    <row r="1669" spans="1:7" ht="16.5">
      <c r="A1669" s="5" t="s">
        <v>6973</v>
      </c>
      <c r="B1669" s="10" t="s">
        <v>6974</v>
      </c>
      <c r="C1669" s="5" t="s">
        <v>1641</v>
      </c>
      <c r="D1669" s="5" t="s">
        <v>6975</v>
      </c>
      <c r="E1669" s="5" t="s">
        <v>6709</v>
      </c>
      <c r="F1669" s="5">
        <v>35</v>
      </c>
      <c r="G1669" s="5">
        <v>210</v>
      </c>
    </row>
    <row r="1670" spans="1:7" ht="16.5">
      <c r="A1670" s="5" t="s">
        <v>6976</v>
      </c>
      <c r="B1670" s="10" t="s">
        <v>6977</v>
      </c>
      <c r="C1670" s="5" t="s">
        <v>1642</v>
      </c>
      <c r="D1670" s="5" t="s">
        <v>6978</v>
      </c>
      <c r="E1670" s="5" t="s">
        <v>6709</v>
      </c>
      <c r="F1670" s="5">
        <v>49.8</v>
      </c>
      <c r="G1670" s="5">
        <v>299</v>
      </c>
    </row>
    <row r="1671" spans="1:7" ht="16.5">
      <c r="A1671" s="5" t="s">
        <v>6979</v>
      </c>
      <c r="B1671" s="10" t="s">
        <v>6980</v>
      </c>
      <c r="C1671" s="5" t="s">
        <v>1643</v>
      </c>
      <c r="D1671" s="5" t="s">
        <v>6981</v>
      </c>
      <c r="E1671" s="5" t="s">
        <v>6709</v>
      </c>
      <c r="F1671" s="5">
        <v>15</v>
      </c>
      <c r="G1671" s="5">
        <v>90</v>
      </c>
    </row>
    <row r="1672" spans="1:7" ht="16.5">
      <c r="A1672" s="5" t="s">
        <v>6982</v>
      </c>
      <c r="B1672" s="10" t="s">
        <v>6983</v>
      </c>
      <c r="C1672" s="5" t="s">
        <v>1644</v>
      </c>
      <c r="D1672" s="5" t="s">
        <v>2337</v>
      </c>
      <c r="E1672" s="5" t="s">
        <v>6709</v>
      </c>
      <c r="F1672" s="5">
        <v>28.8</v>
      </c>
      <c r="G1672" s="5">
        <v>173</v>
      </c>
    </row>
    <row r="1673" spans="1:7" ht="16.5">
      <c r="A1673" s="5" t="s">
        <v>6984</v>
      </c>
      <c r="B1673" s="10" t="s">
        <v>6985</v>
      </c>
      <c r="C1673" s="5" t="s">
        <v>1645</v>
      </c>
      <c r="D1673" s="5" t="s">
        <v>6986</v>
      </c>
      <c r="E1673" s="5" t="s">
        <v>6709</v>
      </c>
      <c r="F1673" s="5">
        <v>80</v>
      </c>
      <c r="G1673" s="5">
        <v>480</v>
      </c>
    </row>
    <row r="1674" spans="1:7" ht="16.5">
      <c r="A1674" s="5" t="s">
        <v>6987</v>
      </c>
      <c r="B1674" s="10" t="s">
        <v>6988</v>
      </c>
      <c r="C1674" s="5" t="s">
        <v>1646</v>
      </c>
      <c r="D1674" s="5" t="s">
        <v>6989</v>
      </c>
      <c r="E1674" s="5" t="s">
        <v>6709</v>
      </c>
      <c r="F1674" s="5">
        <v>16</v>
      </c>
      <c r="G1674" s="5">
        <v>96</v>
      </c>
    </row>
    <row r="1675" spans="1:7" ht="16.5">
      <c r="A1675" s="5" t="s">
        <v>6990</v>
      </c>
      <c r="B1675" s="10" t="s">
        <v>6991</v>
      </c>
      <c r="C1675" s="5" t="s">
        <v>1647</v>
      </c>
      <c r="D1675" s="5" t="s">
        <v>6992</v>
      </c>
      <c r="E1675" s="5" t="s">
        <v>6709</v>
      </c>
      <c r="F1675" s="5">
        <v>30</v>
      </c>
      <c r="G1675" s="5">
        <v>180</v>
      </c>
    </row>
    <row r="1676" spans="1:7" ht="16.5">
      <c r="A1676" s="5" t="s">
        <v>6993</v>
      </c>
      <c r="B1676" s="10" t="s">
        <v>6994</v>
      </c>
      <c r="C1676" s="5" t="s">
        <v>1648</v>
      </c>
      <c r="D1676" s="5" t="s">
        <v>6995</v>
      </c>
      <c r="E1676" s="5" t="s">
        <v>6709</v>
      </c>
      <c r="F1676" s="5">
        <v>22</v>
      </c>
      <c r="G1676" s="5">
        <v>132</v>
      </c>
    </row>
    <row r="1677" spans="1:7" ht="16.5">
      <c r="A1677" s="5" t="s">
        <v>6996</v>
      </c>
      <c r="B1677" s="10" t="s">
        <v>6997</v>
      </c>
      <c r="C1677" s="5" t="s">
        <v>1649</v>
      </c>
      <c r="D1677" s="5" t="s">
        <v>6995</v>
      </c>
      <c r="E1677" s="5" t="s">
        <v>6709</v>
      </c>
      <c r="F1677" s="5">
        <v>22</v>
      </c>
      <c r="G1677" s="5">
        <v>132</v>
      </c>
    </row>
    <row r="1678" spans="1:7" ht="16.5">
      <c r="A1678" s="5" t="s">
        <v>6998</v>
      </c>
      <c r="B1678" s="10" t="s">
        <v>6999</v>
      </c>
      <c r="C1678" s="5" t="s">
        <v>1650</v>
      </c>
      <c r="D1678" s="5" t="s">
        <v>7000</v>
      </c>
      <c r="E1678" s="5" t="s">
        <v>6709</v>
      </c>
      <c r="F1678" s="5">
        <v>40</v>
      </c>
      <c r="G1678" s="5">
        <v>240</v>
      </c>
    </row>
    <row r="1679" spans="1:7" ht="16.5">
      <c r="A1679" s="5" t="s">
        <v>7001</v>
      </c>
      <c r="B1679" s="10" t="s">
        <v>7002</v>
      </c>
      <c r="C1679" s="5" t="s">
        <v>1651</v>
      </c>
      <c r="D1679" s="5" t="s">
        <v>7003</v>
      </c>
      <c r="E1679" s="5" t="s">
        <v>6709</v>
      </c>
      <c r="F1679" s="5">
        <v>42.5</v>
      </c>
      <c r="G1679" s="5">
        <v>255</v>
      </c>
    </row>
    <row r="1680" spans="1:7" ht="16.5">
      <c r="A1680" s="5" t="s">
        <v>7004</v>
      </c>
      <c r="B1680" s="10" t="s">
        <v>7005</v>
      </c>
      <c r="C1680" s="5" t="s">
        <v>1652</v>
      </c>
      <c r="D1680" s="5" t="s">
        <v>7006</v>
      </c>
      <c r="E1680" s="5" t="s">
        <v>6709</v>
      </c>
      <c r="F1680" s="5">
        <v>41</v>
      </c>
      <c r="G1680" s="5">
        <v>246</v>
      </c>
    </row>
    <row r="1681" spans="1:7" ht="16.5">
      <c r="A1681" s="5" t="s">
        <v>7007</v>
      </c>
      <c r="B1681" s="10" t="s">
        <v>7008</v>
      </c>
      <c r="C1681" s="5" t="s">
        <v>1653</v>
      </c>
      <c r="D1681" s="5" t="s">
        <v>7009</v>
      </c>
      <c r="E1681" s="5" t="s">
        <v>6709</v>
      </c>
      <c r="F1681" s="5">
        <v>41</v>
      </c>
      <c r="G1681" s="5">
        <v>246</v>
      </c>
    </row>
    <row r="1682" spans="1:7" ht="16.5">
      <c r="A1682" s="5" t="s">
        <v>7010</v>
      </c>
      <c r="B1682" s="10" t="s">
        <v>7011</v>
      </c>
      <c r="C1682" s="5" t="s">
        <v>1654</v>
      </c>
      <c r="D1682" s="5" t="s">
        <v>7012</v>
      </c>
      <c r="E1682" s="5" t="s">
        <v>6709</v>
      </c>
      <c r="F1682" s="5">
        <v>28</v>
      </c>
      <c r="G1682" s="5">
        <v>168</v>
      </c>
    </row>
    <row r="1683" spans="1:7" ht="16.5">
      <c r="A1683" s="5" t="s">
        <v>7013</v>
      </c>
      <c r="B1683" s="10" t="s">
        <v>7014</v>
      </c>
      <c r="C1683" s="5" t="s">
        <v>1655</v>
      </c>
      <c r="D1683" s="5" t="s">
        <v>7015</v>
      </c>
      <c r="E1683" s="5" t="s">
        <v>6709</v>
      </c>
      <c r="F1683" s="5">
        <v>42</v>
      </c>
      <c r="G1683" s="5">
        <v>252</v>
      </c>
    </row>
    <row r="1684" spans="1:7" ht="16.5">
      <c r="A1684" s="5" t="s">
        <v>7016</v>
      </c>
      <c r="B1684" s="10" t="s">
        <v>7017</v>
      </c>
      <c r="C1684" s="5" t="s">
        <v>1656</v>
      </c>
      <c r="D1684" s="5" t="s">
        <v>7018</v>
      </c>
      <c r="E1684" s="5" t="s">
        <v>6709</v>
      </c>
      <c r="F1684" s="5">
        <v>37</v>
      </c>
      <c r="G1684" s="5">
        <v>222</v>
      </c>
    </row>
    <row r="1685" spans="1:7" ht="16.5">
      <c r="A1685" s="5" t="s">
        <v>7019</v>
      </c>
      <c r="B1685" s="10" t="s">
        <v>7020</v>
      </c>
      <c r="C1685" s="5" t="s">
        <v>1657</v>
      </c>
      <c r="D1685" s="5" t="s">
        <v>7021</v>
      </c>
      <c r="E1685" s="5" t="s">
        <v>6709</v>
      </c>
      <c r="F1685" s="5">
        <v>52</v>
      </c>
      <c r="G1685" s="5">
        <v>312</v>
      </c>
    </row>
    <row r="1686" spans="1:7" ht="16.5">
      <c r="A1686" s="5" t="s">
        <v>7022</v>
      </c>
      <c r="B1686" s="10" t="s">
        <v>7023</v>
      </c>
      <c r="C1686" s="5" t="s">
        <v>1658</v>
      </c>
      <c r="D1686" s="5" t="s">
        <v>2260</v>
      </c>
      <c r="E1686" s="5" t="s">
        <v>6709</v>
      </c>
      <c r="F1686" s="5">
        <v>16</v>
      </c>
      <c r="G1686" s="5">
        <v>96</v>
      </c>
    </row>
    <row r="1687" spans="1:7" ht="16.5">
      <c r="A1687" s="5" t="s">
        <v>7024</v>
      </c>
      <c r="B1687" s="10" t="s">
        <v>7025</v>
      </c>
      <c r="C1687" s="5" t="s">
        <v>1659</v>
      </c>
      <c r="D1687" s="5" t="s">
        <v>7026</v>
      </c>
      <c r="E1687" s="5" t="s">
        <v>6709</v>
      </c>
      <c r="F1687" s="5">
        <v>15</v>
      </c>
      <c r="G1687" s="5">
        <v>90</v>
      </c>
    </row>
    <row r="1688" spans="1:7" ht="16.5">
      <c r="A1688" s="5" t="s">
        <v>7027</v>
      </c>
      <c r="B1688" s="10" t="s">
        <v>7028</v>
      </c>
      <c r="C1688" s="5" t="s">
        <v>1660</v>
      </c>
      <c r="D1688" s="5" t="s">
        <v>7029</v>
      </c>
      <c r="E1688" s="5" t="s">
        <v>6709</v>
      </c>
      <c r="F1688" s="5">
        <v>53</v>
      </c>
      <c r="G1688" s="5">
        <v>318</v>
      </c>
    </row>
    <row r="1689" spans="1:7" ht="16.5">
      <c r="A1689" s="5" t="s">
        <v>7030</v>
      </c>
      <c r="B1689" s="10" t="s">
        <v>7031</v>
      </c>
      <c r="C1689" s="5" t="s">
        <v>1661</v>
      </c>
      <c r="D1689" s="5" t="s">
        <v>7032</v>
      </c>
      <c r="E1689" s="5" t="s">
        <v>6709</v>
      </c>
      <c r="F1689" s="5">
        <v>26</v>
      </c>
      <c r="G1689" s="5">
        <v>156</v>
      </c>
    </row>
    <row r="1690" spans="1:7" ht="16.5">
      <c r="A1690" s="5" t="s">
        <v>7033</v>
      </c>
      <c r="B1690" s="10" t="s">
        <v>7034</v>
      </c>
      <c r="C1690" s="5" t="s">
        <v>7035</v>
      </c>
      <c r="D1690" s="5" t="s">
        <v>7036</v>
      </c>
      <c r="E1690" s="5" t="s">
        <v>6709</v>
      </c>
      <c r="F1690" s="5">
        <v>15</v>
      </c>
      <c r="G1690" s="5">
        <v>90</v>
      </c>
    </row>
    <row r="1691" spans="1:7" ht="16.5">
      <c r="A1691" s="5" t="s">
        <v>7037</v>
      </c>
      <c r="B1691" s="10" t="s">
        <v>7038</v>
      </c>
      <c r="C1691" s="5" t="s">
        <v>1662</v>
      </c>
      <c r="D1691" s="5" t="s">
        <v>7039</v>
      </c>
      <c r="E1691" s="5" t="s">
        <v>6709</v>
      </c>
      <c r="F1691" s="5">
        <v>28</v>
      </c>
      <c r="G1691" s="5">
        <v>168</v>
      </c>
    </row>
    <row r="1692" spans="1:7" ht="16.5">
      <c r="A1692" s="5" t="s">
        <v>7040</v>
      </c>
      <c r="B1692" s="10" t="s">
        <v>7041</v>
      </c>
      <c r="C1692" s="5" t="s">
        <v>1663</v>
      </c>
      <c r="D1692" s="5" t="s">
        <v>7042</v>
      </c>
      <c r="E1692" s="5" t="s">
        <v>6709</v>
      </c>
      <c r="F1692" s="5">
        <v>28</v>
      </c>
      <c r="G1692" s="5">
        <v>168</v>
      </c>
    </row>
    <row r="1693" spans="1:7" ht="16.5">
      <c r="A1693" s="5" t="s">
        <v>7043</v>
      </c>
      <c r="B1693" s="10" t="s">
        <v>7044</v>
      </c>
      <c r="C1693" s="5" t="s">
        <v>1664</v>
      </c>
      <c r="D1693" s="5" t="s">
        <v>7045</v>
      </c>
      <c r="E1693" s="5" t="s">
        <v>6709</v>
      </c>
      <c r="F1693" s="5">
        <v>30</v>
      </c>
      <c r="G1693" s="5">
        <v>180</v>
      </c>
    </row>
    <row r="1694" spans="1:7" ht="16.5">
      <c r="A1694" s="5" t="s">
        <v>7046</v>
      </c>
      <c r="B1694" s="10" t="s">
        <v>7047</v>
      </c>
      <c r="C1694" s="5" t="s">
        <v>1665</v>
      </c>
      <c r="D1694" s="5" t="s">
        <v>6396</v>
      </c>
      <c r="E1694" s="5" t="s">
        <v>6709</v>
      </c>
      <c r="F1694" s="5">
        <v>24</v>
      </c>
      <c r="G1694" s="5">
        <v>144</v>
      </c>
    </row>
    <row r="1695" spans="1:7" ht="16.5">
      <c r="A1695" s="5" t="s">
        <v>7048</v>
      </c>
      <c r="B1695" s="10" t="s">
        <v>7049</v>
      </c>
      <c r="C1695" s="5" t="s">
        <v>1666</v>
      </c>
      <c r="D1695" s="5" t="s">
        <v>7050</v>
      </c>
      <c r="E1695" s="5" t="s">
        <v>6709</v>
      </c>
      <c r="F1695" s="5">
        <v>38</v>
      </c>
      <c r="G1695" s="5">
        <v>228</v>
      </c>
    </row>
    <row r="1696" spans="1:7" ht="16.5">
      <c r="A1696" s="5" t="s">
        <v>7051</v>
      </c>
      <c r="B1696" s="10" t="s">
        <v>7052</v>
      </c>
      <c r="C1696" s="5" t="s">
        <v>1667</v>
      </c>
      <c r="D1696" s="5" t="s">
        <v>7053</v>
      </c>
      <c r="E1696" s="5" t="s">
        <v>6709</v>
      </c>
      <c r="F1696" s="5">
        <v>238</v>
      </c>
      <c r="G1696" s="5">
        <v>1428</v>
      </c>
    </row>
    <row r="1697" spans="1:7" ht="16.5">
      <c r="A1697" s="5" t="s">
        <v>7054</v>
      </c>
      <c r="B1697" s="10" t="s">
        <v>7055</v>
      </c>
      <c r="C1697" s="5" t="s">
        <v>1668</v>
      </c>
      <c r="D1697" s="5" t="s">
        <v>7056</v>
      </c>
      <c r="E1697" s="5" t="s">
        <v>6709</v>
      </c>
      <c r="F1697" s="5">
        <v>35</v>
      </c>
      <c r="G1697" s="5">
        <v>210</v>
      </c>
    </row>
    <row r="1698" spans="1:7" ht="16.5">
      <c r="A1698" s="5" t="s">
        <v>7057</v>
      </c>
      <c r="B1698" s="10" t="s">
        <v>7058</v>
      </c>
      <c r="C1698" s="5" t="s">
        <v>1669</v>
      </c>
      <c r="D1698" s="5" t="s">
        <v>7059</v>
      </c>
      <c r="E1698" s="5" t="s">
        <v>6709</v>
      </c>
      <c r="F1698" s="5">
        <v>15</v>
      </c>
      <c r="G1698" s="5">
        <v>90</v>
      </c>
    </row>
    <row r="1699" spans="1:7" ht="16.5">
      <c r="A1699" s="5" t="s">
        <v>7060</v>
      </c>
      <c r="B1699" s="10" t="s">
        <v>7061</v>
      </c>
      <c r="C1699" s="5" t="s">
        <v>1670</v>
      </c>
      <c r="D1699" s="5" t="s">
        <v>7062</v>
      </c>
      <c r="E1699" s="5" t="s">
        <v>6709</v>
      </c>
      <c r="F1699" s="5">
        <v>15</v>
      </c>
      <c r="G1699" s="5">
        <v>90</v>
      </c>
    </row>
    <row r="1700" spans="1:7" ht="16.5">
      <c r="A1700" s="5" t="s">
        <v>7063</v>
      </c>
      <c r="B1700" s="10" t="s">
        <v>7064</v>
      </c>
      <c r="C1700" s="5" t="s">
        <v>1671</v>
      </c>
      <c r="D1700" s="5" t="s">
        <v>7065</v>
      </c>
      <c r="E1700" s="5" t="s">
        <v>6709</v>
      </c>
      <c r="F1700" s="5">
        <v>16</v>
      </c>
      <c r="G1700" s="5">
        <v>96</v>
      </c>
    </row>
    <row r="1701" spans="1:7" ht="16.5">
      <c r="A1701" s="5" t="s">
        <v>7066</v>
      </c>
      <c r="B1701" s="10" t="s">
        <v>7067</v>
      </c>
      <c r="C1701" s="5" t="s">
        <v>1672</v>
      </c>
      <c r="D1701" s="5" t="s">
        <v>7068</v>
      </c>
      <c r="E1701" s="5" t="s">
        <v>6709</v>
      </c>
      <c r="F1701" s="5">
        <v>29.8</v>
      </c>
      <c r="G1701" s="5">
        <v>179</v>
      </c>
    </row>
    <row r="1702" spans="1:7" ht="16.5">
      <c r="A1702" s="5" t="s">
        <v>7069</v>
      </c>
      <c r="B1702" s="10" t="s">
        <v>7070</v>
      </c>
      <c r="C1702" s="5" t="s">
        <v>1673</v>
      </c>
      <c r="D1702" s="5" t="s">
        <v>3725</v>
      </c>
      <c r="E1702" s="5" t="s">
        <v>6709</v>
      </c>
      <c r="F1702" s="5">
        <v>15</v>
      </c>
      <c r="G1702" s="5">
        <v>90</v>
      </c>
    </row>
    <row r="1703" spans="1:7" ht="16.5">
      <c r="A1703" s="5" t="s">
        <v>7071</v>
      </c>
      <c r="B1703" s="10" t="s">
        <v>7072</v>
      </c>
      <c r="C1703" s="5" t="s">
        <v>1674</v>
      </c>
      <c r="D1703" s="5" t="s">
        <v>2260</v>
      </c>
      <c r="E1703" s="5" t="s">
        <v>6709</v>
      </c>
      <c r="F1703" s="5">
        <v>18</v>
      </c>
      <c r="G1703" s="5">
        <v>108</v>
      </c>
    </row>
    <row r="1704" spans="1:7" ht="16.5">
      <c r="A1704" s="5" t="s">
        <v>7073</v>
      </c>
      <c r="B1704" s="10" t="s">
        <v>7074</v>
      </c>
      <c r="C1704" s="5" t="s">
        <v>1675</v>
      </c>
      <c r="D1704" s="5" t="s">
        <v>7075</v>
      </c>
      <c r="E1704" s="5" t="s">
        <v>6709</v>
      </c>
      <c r="F1704" s="5">
        <v>29.8</v>
      </c>
      <c r="G1704" s="5">
        <v>179</v>
      </c>
    </row>
    <row r="1705" spans="1:7" ht="16.5">
      <c r="A1705" s="5" t="s">
        <v>7076</v>
      </c>
      <c r="B1705" s="10" t="s">
        <v>7077</v>
      </c>
      <c r="C1705" s="5" t="s">
        <v>1676</v>
      </c>
      <c r="D1705" s="5" t="s">
        <v>7078</v>
      </c>
      <c r="E1705" s="5" t="s">
        <v>7079</v>
      </c>
      <c r="F1705" s="5">
        <v>20</v>
      </c>
      <c r="G1705" s="5">
        <v>120</v>
      </c>
    </row>
    <row r="1706" spans="1:7" ht="16.5">
      <c r="A1706" s="5" t="s">
        <v>7080</v>
      </c>
      <c r="B1706" s="10" t="s">
        <v>7081</v>
      </c>
      <c r="C1706" s="5" t="s">
        <v>1677</v>
      </c>
      <c r="D1706" s="5" t="s">
        <v>7082</v>
      </c>
      <c r="E1706" s="5" t="s">
        <v>7079</v>
      </c>
      <c r="F1706" s="5">
        <v>20</v>
      </c>
      <c r="G1706" s="5">
        <v>120</v>
      </c>
    </row>
    <row r="1707" spans="1:7" ht="16.5">
      <c r="A1707" s="5" t="s">
        <v>7083</v>
      </c>
      <c r="B1707" s="10" t="s">
        <v>7084</v>
      </c>
      <c r="C1707" s="5" t="s">
        <v>1678</v>
      </c>
      <c r="D1707" s="5" t="s">
        <v>7085</v>
      </c>
      <c r="E1707" s="5" t="s">
        <v>7079</v>
      </c>
      <c r="F1707" s="5">
        <v>20</v>
      </c>
      <c r="G1707" s="5">
        <v>120</v>
      </c>
    </row>
    <row r="1708" spans="1:7" ht="16.5">
      <c r="A1708" s="5" t="s">
        <v>7086</v>
      </c>
      <c r="B1708" s="10" t="s">
        <v>7087</v>
      </c>
      <c r="C1708" s="5" t="s">
        <v>1679</v>
      </c>
      <c r="D1708" s="5" t="s">
        <v>7088</v>
      </c>
      <c r="E1708" s="5" t="s">
        <v>7089</v>
      </c>
      <c r="F1708" s="5">
        <v>26.8</v>
      </c>
      <c r="G1708" s="5">
        <v>161</v>
      </c>
    </row>
    <row r="1709" spans="1:7" ht="16.5">
      <c r="A1709" s="5" t="s">
        <v>7090</v>
      </c>
      <c r="B1709" s="10" t="s">
        <v>7091</v>
      </c>
      <c r="C1709" s="5" t="s">
        <v>1680</v>
      </c>
      <c r="D1709" s="5" t="s">
        <v>7092</v>
      </c>
      <c r="E1709" s="5" t="s">
        <v>7089</v>
      </c>
      <c r="F1709" s="5">
        <v>28.8</v>
      </c>
      <c r="G1709" s="5">
        <v>173</v>
      </c>
    </row>
    <row r="1710" spans="1:7" ht="16.5">
      <c r="A1710" s="5" t="s">
        <v>7093</v>
      </c>
      <c r="B1710" s="10" t="s">
        <v>7094</v>
      </c>
      <c r="C1710" s="5" t="s">
        <v>1681</v>
      </c>
      <c r="D1710" s="5" t="s">
        <v>7095</v>
      </c>
      <c r="E1710" s="5" t="s">
        <v>7096</v>
      </c>
      <c r="F1710" s="5">
        <v>58.8</v>
      </c>
      <c r="G1710" s="5">
        <v>353</v>
      </c>
    </row>
    <row r="1711" spans="1:7" ht="16.5">
      <c r="A1711" s="5" t="s">
        <v>7097</v>
      </c>
      <c r="B1711" s="10" t="s">
        <v>7098</v>
      </c>
      <c r="C1711" s="5" t="s">
        <v>1682</v>
      </c>
      <c r="D1711" s="5" t="s">
        <v>7095</v>
      </c>
      <c r="E1711" s="5" t="s">
        <v>7096</v>
      </c>
      <c r="F1711" s="5">
        <v>68</v>
      </c>
      <c r="G1711" s="5">
        <v>408</v>
      </c>
    </row>
    <row r="1712" spans="1:7" ht="16.5">
      <c r="A1712" s="5" t="s">
        <v>7099</v>
      </c>
      <c r="B1712" s="10" t="s">
        <v>7100</v>
      </c>
      <c r="C1712" s="5" t="s">
        <v>1683</v>
      </c>
      <c r="D1712" s="5" t="s">
        <v>7095</v>
      </c>
      <c r="E1712" s="5" t="s">
        <v>7096</v>
      </c>
      <c r="F1712" s="5">
        <v>60</v>
      </c>
      <c r="G1712" s="5">
        <v>360</v>
      </c>
    </row>
    <row r="1713" spans="1:7" ht="16.5">
      <c r="A1713" s="5" t="s">
        <v>7101</v>
      </c>
      <c r="B1713" s="10" t="s">
        <v>7102</v>
      </c>
      <c r="C1713" s="5" t="s">
        <v>1684</v>
      </c>
      <c r="D1713" s="5" t="s">
        <v>7103</v>
      </c>
      <c r="E1713" s="5" t="s">
        <v>7096</v>
      </c>
      <c r="F1713" s="5">
        <v>34.8</v>
      </c>
      <c r="G1713" s="5">
        <v>209</v>
      </c>
    </row>
    <row r="1714" spans="1:7" ht="16.5">
      <c r="A1714" s="5" t="s">
        <v>7104</v>
      </c>
      <c r="B1714" s="10" t="s">
        <v>7105</v>
      </c>
      <c r="C1714" s="5" t="s">
        <v>1685</v>
      </c>
      <c r="D1714" s="5" t="s">
        <v>548</v>
      </c>
      <c r="E1714" s="5" t="s">
        <v>7106</v>
      </c>
      <c r="F1714" s="5">
        <v>25</v>
      </c>
      <c r="G1714" s="5">
        <v>150</v>
      </c>
    </row>
    <row r="1715" spans="1:7" ht="16.5">
      <c r="A1715" s="5" t="s">
        <v>7107</v>
      </c>
      <c r="B1715" s="10" t="s">
        <v>7108</v>
      </c>
      <c r="C1715" s="5" t="s">
        <v>1686</v>
      </c>
      <c r="D1715" s="5" t="s">
        <v>7109</v>
      </c>
      <c r="E1715" s="5" t="s">
        <v>7110</v>
      </c>
      <c r="F1715" s="5">
        <v>160</v>
      </c>
      <c r="G1715" s="5">
        <v>960</v>
      </c>
    </row>
    <row r="1716" spans="1:7" ht="16.5">
      <c r="A1716" s="5" t="s">
        <v>7111</v>
      </c>
      <c r="B1716" s="10" t="s">
        <v>7112</v>
      </c>
      <c r="C1716" s="5" t="s">
        <v>1687</v>
      </c>
      <c r="D1716" s="5" t="s">
        <v>7113</v>
      </c>
      <c r="E1716" s="5" t="s">
        <v>7110</v>
      </c>
      <c r="F1716" s="5">
        <v>26</v>
      </c>
      <c r="G1716" s="5">
        <v>156</v>
      </c>
    </row>
    <row r="1717" spans="1:7" ht="16.5">
      <c r="A1717" s="5" t="s">
        <v>7114</v>
      </c>
      <c r="B1717" s="10" t="s">
        <v>7115</v>
      </c>
      <c r="C1717" s="5" t="s">
        <v>1688</v>
      </c>
      <c r="D1717" s="5" t="s">
        <v>7116</v>
      </c>
      <c r="E1717" s="5" t="s">
        <v>7110</v>
      </c>
      <c r="F1717" s="5">
        <v>48</v>
      </c>
      <c r="G1717" s="5">
        <v>288</v>
      </c>
    </row>
    <row r="1718" spans="1:7" ht="16.5">
      <c r="A1718" s="5" t="s">
        <v>7117</v>
      </c>
      <c r="B1718" s="10" t="s">
        <v>7118</v>
      </c>
      <c r="C1718" s="5" t="s">
        <v>1689</v>
      </c>
      <c r="D1718" s="5" t="s">
        <v>7119</v>
      </c>
      <c r="E1718" s="5" t="s">
        <v>7110</v>
      </c>
      <c r="F1718" s="5">
        <v>35</v>
      </c>
      <c r="G1718" s="5">
        <v>210</v>
      </c>
    </row>
    <row r="1719" spans="1:7" ht="16.5">
      <c r="A1719" s="5" t="s">
        <v>7120</v>
      </c>
      <c r="B1719" s="10" t="s">
        <v>7121</v>
      </c>
      <c r="C1719" s="5" t="s">
        <v>1690</v>
      </c>
      <c r="D1719" s="5" t="s">
        <v>7122</v>
      </c>
      <c r="E1719" s="5" t="s">
        <v>7110</v>
      </c>
      <c r="F1719" s="5">
        <v>29</v>
      </c>
      <c r="G1719" s="5">
        <v>174</v>
      </c>
    </row>
    <row r="1720" spans="1:7" ht="16.5">
      <c r="A1720" s="5" t="s">
        <v>7123</v>
      </c>
      <c r="B1720" s="10" t="s">
        <v>7124</v>
      </c>
      <c r="C1720" s="5" t="s">
        <v>1691</v>
      </c>
      <c r="D1720" s="5" t="s">
        <v>7125</v>
      </c>
      <c r="E1720" s="5" t="s">
        <v>7126</v>
      </c>
      <c r="F1720" s="5">
        <v>35</v>
      </c>
      <c r="G1720" s="5">
        <v>210</v>
      </c>
    </row>
    <row r="1721" spans="1:7" ht="16.5">
      <c r="A1721" s="5" t="s">
        <v>7127</v>
      </c>
      <c r="B1721" s="10" t="s">
        <v>7128</v>
      </c>
      <c r="C1721" s="5" t="s">
        <v>1692</v>
      </c>
      <c r="D1721" s="5" t="s">
        <v>7129</v>
      </c>
      <c r="E1721" s="5" t="s">
        <v>7126</v>
      </c>
      <c r="F1721" s="5">
        <v>30</v>
      </c>
      <c r="G1721" s="5">
        <v>180</v>
      </c>
    </row>
    <row r="1722" spans="1:7" ht="16.5">
      <c r="A1722" s="5" t="s">
        <v>7130</v>
      </c>
      <c r="B1722" s="10" t="s">
        <v>7131</v>
      </c>
      <c r="C1722" s="5" t="s">
        <v>1693</v>
      </c>
      <c r="D1722" s="5" t="s">
        <v>7132</v>
      </c>
      <c r="E1722" s="5" t="s">
        <v>2297</v>
      </c>
      <c r="F1722" s="5">
        <v>110</v>
      </c>
      <c r="G1722" s="5">
        <v>660</v>
      </c>
    </row>
    <row r="1723" spans="1:7" ht="16.5">
      <c r="A1723" s="5" t="s">
        <v>7133</v>
      </c>
      <c r="B1723" s="10" t="s">
        <v>7134</v>
      </c>
      <c r="C1723" s="5" t="s">
        <v>1694</v>
      </c>
      <c r="D1723" s="5" t="s">
        <v>7135</v>
      </c>
      <c r="E1723" s="5" t="s">
        <v>3522</v>
      </c>
      <c r="F1723" s="5">
        <v>30</v>
      </c>
      <c r="G1723" s="5">
        <v>180</v>
      </c>
    </row>
    <row r="1724" spans="1:7" ht="16.5">
      <c r="A1724" s="5" t="s">
        <v>7136</v>
      </c>
      <c r="B1724" s="10" t="s">
        <v>7137</v>
      </c>
      <c r="C1724" s="5" t="s">
        <v>1695</v>
      </c>
      <c r="D1724" s="5" t="s">
        <v>7138</v>
      </c>
      <c r="E1724" s="5" t="s">
        <v>7139</v>
      </c>
      <c r="F1724" s="5">
        <v>39</v>
      </c>
      <c r="G1724" s="5">
        <v>234</v>
      </c>
    </row>
    <row r="1725" spans="1:7" ht="16.5">
      <c r="A1725" s="5" t="s">
        <v>7140</v>
      </c>
      <c r="B1725" s="10" t="s">
        <v>7141</v>
      </c>
      <c r="C1725" s="5" t="s">
        <v>1696</v>
      </c>
      <c r="D1725" s="5" t="s">
        <v>7142</v>
      </c>
      <c r="E1725" s="5" t="s">
        <v>7139</v>
      </c>
      <c r="F1725" s="5">
        <v>36</v>
      </c>
      <c r="G1725" s="5">
        <v>216</v>
      </c>
    </row>
    <row r="1726" spans="1:7" ht="16.5">
      <c r="A1726" s="5" t="s">
        <v>7143</v>
      </c>
      <c r="B1726" s="10" t="s">
        <v>7144</v>
      </c>
      <c r="C1726" s="5" t="s">
        <v>1697</v>
      </c>
      <c r="D1726" s="5" t="s">
        <v>7145</v>
      </c>
      <c r="E1726" s="5" t="s">
        <v>7139</v>
      </c>
      <c r="F1726" s="5">
        <v>29</v>
      </c>
      <c r="G1726" s="5">
        <v>174</v>
      </c>
    </row>
    <row r="1727" spans="1:7" ht="16.5">
      <c r="A1727" s="5" t="s">
        <v>7146</v>
      </c>
      <c r="B1727" s="10" t="s">
        <v>7147</v>
      </c>
      <c r="C1727" s="5" t="s">
        <v>1698</v>
      </c>
      <c r="D1727" s="5" t="s">
        <v>7148</v>
      </c>
      <c r="E1727" s="5" t="s">
        <v>7139</v>
      </c>
      <c r="F1727" s="5">
        <v>56</v>
      </c>
      <c r="G1727" s="5">
        <v>336</v>
      </c>
    </row>
    <row r="1728" spans="1:7" ht="16.5">
      <c r="A1728" s="5" t="s">
        <v>7149</v>
      </c>
      <c r="B1728" s="10" t="s">
        <v>7150</v>
      </c>
      <c r="C1728" s="5" t="s">
        <v>1699</v>
      </c>
      <c r="D1728" s="5" t="s">
        <v>7151</v>
      </c>
      <c r="E1728" s="5" t="s">
        <v>7139</v>
      </c>
      <c r="F1728" s="5">
        <v>29</v>
      </c>
      <c r="G1728" s="5">
        <v>174</v>
      </c>
    </row>
    <row r="1729" spans="1:7" ht="16.5">
      <c r="A1729" s="5" t="s">
        <v>7152</v>
      </c>
      <c r="B1729" s="10" t="s">
        <v>7153</v>
      </c>
      <c r="C1729" s="5" t="s">
        <v>1700</v>
      </c>
      <c r="D1729" s="5" t="s">
        <v>2899</v>
      </c>
      <c r="E1729" s="5" t="s">
        <v>7139</v>
      </c>
      <c r="F1729" s="5">
        <v>76</v>
      </c>
      <c r="G1729" s="5">
        <v>456</v>
      </c>
    </row>
    <row r="1730" spans="1:7" ht="16.5">
      <c r="A1730" s="5" t="s">
        <v>7154</v>
      </c>
      <c r="B1730" s="10" t="s">
        <v>7155</v>
      </c>
      <c r="C1730" s="5" t="s">
        <v>1701</v>
      </c>
      <c r="D1730" s="5" t="s">
        <v>7156</v>
      </c>
      <c r="E1730" s="5" t="s">
        <v>7139</v>
      </c>
      <c r="F1730" s="5">
        <v>36</v>
      </c>
      <c r="G1730" s="5">
        <v>216</v>
      </c>
    </row>
    <row r="1731" spans="1:7" ht="16.5">
      <c r="A1731" s="5" t="s">
        <v>7157</v>
      </c>
      <c r="B1731" s="10" t="s">
        <v>7158</v>
      </c>
      <c r="C1731" s="5" t="s">
        <v>1702</v>
      </c>
      <c r="D1731" s="5" t="s">
        <v>7159</v>
      </c>
      <c r="E1731" s="5" t="s">
        <v>7139</v>
      </c>
      <c r="F1731" s="5">
        <v>49</v>
      </c>
      <c r="G1731" s="5">
        <v>294</v>
      </c>
    </row>
    <row r="1732" spans="1:7" ht="16.5">
      <c r="A1732" s="5" t="s">
        <v>7160</v>
      </c>
      <c r="B1732" s="10" t="s">
        <v>7161</v>
      </c>
      <c r="C1732" s="5" t="s">
        <v>1703</v>
      </c>
      <c r="D1732" s="5" t="s">
        <v>7162</v>
      </c>
      <c r="E1732" s="5" t="s">
        <v>7139</v>
      </c>
      <c r="F1732" s="5">
        <v>56</v>
      </c>
      <c r="G1732" s="5">
        <v>336</v>
      </c>
    </row>
    <row r="1733" spans="1:7" ht="16.5">
      <c r="A1733" s="5" t="s">
        <v>7163</v>
      </c>
      <c r="B1733" s="10" t="s">
        <v>7164</v>
      </c>
      <c r="C1733" s="5" t="s">
        <v>1704</v>
      </c>
      <c r="D1733" s="5" t="s">
        <v>7156</v>
      </c>
      <c r="E1733" s="5" t="s">
        <v>7139</v>
      </c>
      <c r="F1733" s="5">
        <v>36</v>
      </c>
      <c r="G1733" s="5">
        <v>216</v>
      </c>
    </row>
    <row r="1734" spans="1:7" ht="16.5">
      <c r="A1734" s="5" t="s">
        <v>7165</v>
      </c>
      <c r="B1734" s="10" t="s">
        <v>7166</v>
      </c>
      <c r="C1734" s="5" t="s">
        <v>1705</v>
      </c>
      <c r="D1734" s="5" t="s">
        <v>7156</v>
      </c>
      <c r="E1734" s="5" t="s">
        <v>7139</v>
      </c>
      <c r="F1734" s="5">
        <v>36</v>
      </c>
      <c r="G1734" s="5">
        <v>216</v>
      </c>
    </row>
    <row r="1735" spans="1:7" ht="16.5">
      <c r="A1735" s="5" t="s">
        <v>7167</v>
      </c>
      <c r="B1735" s="10" t="s">
        <v>7168</v>
      </c>
      <c r="C1735" s="5" t="s">
        <v>1706</v>
      </c>
      <c r="D1735" s="5" t="s">
        <v>7156</v>
      </c>
      <c r="E1735" s="5" t="s">
        <v>7139</v>
      </c>
      <c r="F1735" s="5">
        <v>36</v>
      </c>
      <c r="G1735" s="5">
        <v>216</v>
      </c>
    </row>
    <row r="1736" spans="1:7" ht="16.5">
      <c r="A1736" s="5" t="s">
        <v>7169</v>
      </c>
      <c r="B1736" s="10" t="s">
        <v>7170</v>
      </c>
      <c r="C1736" s="5" t="s">
        <v>1707</v>
      </c>
      <c r="D1736" s="5" t="s">
        <v>7171</v>
      </c>
      <c r="E1736" s="5" t="s">
        <v>7139</v>
      </c>
      <c r="F1736" s="5">
        <v>78</v>
      </c>
      <c r="G1736" s="5">
        <v>468</v>
      </c>
    </row>
    <row r="1737" spans="1:7" ht="16.5">
      <c r="A1737" s="5" t="s">
        <v>7172</v>
      </c>
      <c r="B1737" s="10" t="s">
        <v>7173</v>
      </c>
      <c r="C1737" s="5" t="s">
        <v>1708</v>
      </c>
      <c r="D1737" s="5" t="s">
        <v>7174</v>
      </c>
      <c r="E1737" s="5" t="s">
        <v>7139</v>
      </c>
      <c r="F1737" s="5">
        <v>28</v>
      </c>
      <c r="G1737" s="5">
        <v>168</v>
      </c>
    </row>
    <row r="1738" spans="1:7" ht="16.5">
      <c r="A1738" s="5" t="s">
        <v>7175</v>
      </c>
      <c r="B1738" s="10" t="s">
        <v>7176</v>
      </c>
      <c r="C1738" s="5" t="s">
        <v>1709</v>
      </c>
      <c r="D1738" s="5" t="s">
        <v>7177</v>
      </c>
      <c r="E1738" s="5" t="s">
        <v>4667</v>
      </c>
      <c r="F1738" s="5">
        <v>20</v>
      </c>
      <c r="G1738" s="5">
        <v>120</v>
      </c>
    </row>
    <row r="1739" spans="1:7" ht="16.5">
      <c r="A1739" s="5" t="s">
        <v>7178</v>
      </c>
      <c r="B1739" s="10" t="s">
        <v>7179</v>
      </c>
      <c r="C1739" s="5" t="s">
        <v>1710</v>
      </c>
      <c r="D1739" s="5" t="s">
        <v>7180</v>
      </c>
      <c r="E1739" s="5" t="s">
        <v>4667</v>
      </c>
      <c r="F1739" s="5">
        <v>20</v>
      </c>
      <c r="G1739" s="5">
        <v>120</v>
      </c>
    </row>
    <row r="1740" spans="1:7" ht="16.5">
      <c r="A1740" s="5" t="s">
        <v>7181</v>
      </c>
      <c r="B1740" s="10" t="s">
        <v>7182</v>
      </c>
      <c r="C1740" s="5" t="s">
        <v>1711</v>
      </c>
      <c r="D1740" s="5" t="s">
        <v>7183</v>
      </c>
      <c r="E1740" s="5" t="s">
        <v>4667</v>
      </c>
      <c r="F1740" s="5">
        <v>60</v>
      </c>
      <c r="G1740" s="5">
        <v>360</v>
      </c>
    </row>
    <row r="1741" spans="1:7" ht="16.5">
      <c r="A1741" s="5" t="s">
        <v>7184</v>
      </c>
      <c r="B1741" s="10" t="s">
        <v>7185</v>
      </c>
      <c r="C1741" s="5" t="s">
        <v>1712</v>
      </c>
      <c r="D1741" s="5" t="s">
        <v>7186</v>
      </c>
      <c r="E1741" s="5" t="s">
        <v>7187</v>
      </c>
      <c r="F1741" s="5">
        <v>95</v>
      </c>
      <c r="G1741" s="5">
        <v>570</v>
      </c>
    </row>
    <row r="1742" spans="1:7" ht="16.5">
      <c r="A1742" s="5" t="s">
        <v>7188</v>
      </c>
      <c r="B1742" s="10" t="s">
        <v>7189</v>
      </c>
      <c r="C1742" s="5" t="s">
        <v>1713</v>
      </c>
      <c r="D1742" s="5" t="s">
        <v>7190</v>
      </c>
      <c r="E1742" s="5" t="s">
        <v>7187</v>
      </c>
      <c r="F1742" s="5">
        <v>48</v>
      </c>
      <c r="G1742" s="5">
        <v>288</v>
      </c>
    </row>
    <row r="1743" spans="1:7" ht="16.5">
      <c r="A1743" s="5" t="s">
        <v>7191</v>
      </c>
      <c r="B1743" s="10" t="s">
        <v>7192</v>
      </c>
      <c r="C1743" s="5" t="s">
        <v>1714</v>
      </c>
      <c r="D1743" s="5" t="s">
        <v>7193</v>
      </c>
      <c r="E1743" s="5" t="s">
        <v>7187</v>
      </c>
      <c r="F1743" s="5">
        <v>22</v>
      </c>
      <c r="G1743" s="5">
        <v>132</v>
      </c>
    </row>
    <row r="1744" spans="1:7" ht="16.5">
      <c r="A1744" s="5" t="s">
        <v>7194</v>
      </c>
      <c r="B1744" s="10" t="s">
        <v>7195</v>
      </c>
      <c r="C1744" s="5" t="s">
        <v>1715</v>
      </c>
      <c r="D1744" s="5" t="s">
        <v>7196</v>
      </c>
      <c r="E1744" s="5" t="s">
        <v>7187</v>
      </c>
      <c r="F1744" s="5">
        <v>29.8</v>
      </c>
      <c r="G1744" s="5">
        <v>179</v>
      </c>
    </row>
    <row r="1745" spans="1:7" ht="16.5">
      <c r="A1745" s="5" t="s">
        <v>7197</v>
      </c>
      <c r="B1745" s="10" t="s">
        <v>7198</v>
      </c>
      <c r="C1745" s="5" t="s">
        <v>1716</v>
      </c>
      <c r="D1745" s="5" t="s">
        <v>7199</v>
      </c>
      <c r="E1745" s="5" t="s">
        <v>7187</v>
      </c>
      <c r="F1745" s="5">
        <v>26</v>
      </c>
      <c r="G1745" s="5">
        <v>156</v>
      </c>
    </row>
    <row r="1746" spans="1:7" ht="16.5">
      <c r="A1746" s="5" t="s">
        <v>7200</v>
      </c>
      <c r="B1746" s="10" t="s">
        <v>7201</v>
      </c>
      <c r="C1746" s="5" t="s">
        <v>1717</v>
      </c>
      <c r="D1746" s="5" t="s">
        <v>7202</v>
      </c>
      <c r="E1746" s="5" t="s">
        <v>7187</v>
      </c>
      <c r="F1746" s="5">
        <v>24</v>
      </c>
      <c r="G1746" s="5">
        <v>144</v>
      </c>
    </row>
    <row r="1747" spans="1:7" ht="16.5">
      <c r="A1747" s="5" t="s">
        <v>7203</v>
      </c>
      <c r="B1747" s="10" t="s">
        <v>7204</v>
      </c>
      <c r="C1747" s="5" t="s">
        <v>1718</v>
      </c>
      <c r="D1747" s="5" t="s">
        <v>7205</v>
      </c>
      <c r="E1747" s="5" t="s">
        <v>7206</v>
      </c>
      <c r="F1747" s="5">
        <v>29.8</v>
      </c>
      <c r="G1747" s="5">
        <v>179</v>
      </c>
    </row>
    <row r="1748" spans="1:7" ht="16.5">
      <c r="A1748" s="5" t="s">
        <v>7207</v>
      </c>
      <c r="B1748" s="10" t="s">
        <v>7208</v>
      </c>
      <c r="C1748" s="5" t="s">
        <v>1719</v>
      </c>
      <c r="D1748" s="5" t="s">
        <v>7209</v>
      </c>
      <c r="E1748" s="5" t="s">
        <v>7210</v>
      </c>
      <c r="F1748" s="5">
        <v>12.5</v>
      </c>
      <c r="G1748" s="5">
        <v>75</v>
      </c>
    </row>
    <row r="1749" spans="1:7" ht="16.5">
      <c r="A1749" s="5" t="s">
        <v>7211</v>
      </c>
      <c r="B1749" s="10" t="s">
        <v>7212</v>
      </c>
      <c r="C1749" s="5" t="s">
        <v>1720</v>
      </c>
      <c r="D1749" s="5" t="s">
        <v>7213</v>
      </c>
      <c r="E1749" s="5" t="s">
        <v>7210</v>
      </c>
      <c r="F1749" s="5">
        <v>10</v>
      </c>
      <c r="G1749" s="5">
        <v>60</v>
      </c>
    </row>
    <row r="1750" spans="1:7" ht="16.5">
      <c r="A1750" s="5" t="s">
        <v>7214</v>
      </c>
      <c r="B1750" s="10" t="s">
        <v>7215</v>
      </c>
      <c r="C1750" s="5" t="s">
        <v>1721</v>
      </c>
      <c r="D1750" s="5" t="s">
        <v>7216</v>
      </c>
      <c r="E1750" s="5" t="s">
        <v>7217</v>
      </c>
      <c r="F1750" s="5">
        <v>22</v>
      </c>
      <c r="G1750" s="5">
        <v>132</v>
      </c>
    </row>
    <row r="1751" spans="1:7" ht="16.5">
      <c r="A1751" s="5" t="s">
        <v>7218</v>
      </c>
      <c r="B1751" s="10" t="s">
        <v>7219</v>
      </c>
      <c r="C1751" s="5" t="s">
        <v>1722</v>
      </c>
      <c r="D1751" s="5" t="s">
        <v>2583</v>
      </c>
      <c r="E1751" s="5" t="s">
        <v>7220</v>
      </c>
      <c r="F1751" s="5">
        <v>1080</v>
      </c>
      <c r="G1751" s="5">
        <v>6480</v>
      </c>
    </row>
    <row r="1752" spans="1:7" ht="16.5">
      <c r="A1752" s="5" t="s">
        <v>7221</v>
      </c>
      <c r="B1752" s="10" t="s">
        <v>7222</v>
      </c>
      <c r="C1752" s="5" t="s">
        <v>1723</v>
      </c>
      <c r="D1752" s="5" t="s">
        <v>2583</v>
      </c>
      <c r="E1752" s="5" t="s">
        <v>7220</v>
      </c>
      <c r="F1752" s="5">
        <v>1600</v>
      </c>
      <c r="G1752" s="5">
        <v>9600</v>
      </c>
    </row>
    <row r="1753" spans="1:7" ht="16.5">
      <c r="A1753" s="5" t="s">
        <v>7223</v>
      </c>
      <c r="B1753" s="10" t="s">
        <v>7224</v>
      </c>
      <c r="C1753" s="5" t="s">
        <v>1724</v>
      </c>
      <c r="D1753" s="5" t="s">
        <v>2583</v>
      </c>
      <c r="E1753" s="5" t="s">
        <v>7220</v>
      </c>
      <c r="F1753" s="5">
        <v>1200</v>
      </c>
      <c r="G1753" s="5">
        <v>7200</v>
      </c>
    </row>
    <row r="1754" spans="1:7" ht="16.5">
      <c r="A1754" s="5" t="s">
        <v>7225</v>
      </c>
      <c r="B1754" s="10" t="s">
        <v>7226</v>
      </c>
      <c r="C1754" s="5" t="s">
        <v>1725</v>
      </c>
      <c r="D1754" s="5" t="s">
        <v>7227</v>
      </c>
      <c r="E1754" s="5" t="s">
        <v>7220</v>
      </c>
      <c r="F1754" s="5">
        <v>198</v>
      </c>
      <c r="G1754" s="5">
        <v>1188</v>
      </c>
    </row>
    <row r="1755" spans="1:7" ht="16.5">
      <c r="A1755" s="5" t="s">
        <v>7228</v>
      </c>
      <c r="B1755" s="10" t="s">
        <v>7229</v>
      </c>
      <c r="C1755" s="5" t="s">
        <v>1726</v>
      </c>
      <c r="D1755" s="5" t="s">
        <v>7230</v>
      </c>
      <c r="E1755" s="5" t="s">
        <v>7231</v>
      </c>
      <c r="F1755" s="5">
        <v>78</v>
      </c>
      <c r="G1755" s="5">
        <v>468</v>
      </c>
    </row>
    <row r="1756" spans="1:7" ht="16.5">
      <c r="A1756" s="5" t="s">
        <v>7232</v>
      </c>
      <c r="B1756" s="10" t="s">
        <v>7233</v>
      </c>
      <c r="C1756" s="5" t="s">
        <v>1727</v>
      </c>
      <c r="D1756" s="5" t="s">
        <v>7234</v>
      </c>
      <c r="E1756" s="5" t="s">
        <v>4865</v>
      </c>
      <c r="F1756" s="5">
        <v>19.8</v>
      </c>
      <c r="G1756" s="5">
        <v>119</v>
      </c>
    </row>
    <row r="1757" spans="1:7" ht="16.5">
      <c r="A1757" s="5" t="s">
        <v>7235</v>
      </c>
      <c r="B1757" s="10" t="s">
        <v>2236</v>
      </c>
      <c r="C1757" s="5" t="s">
        <v>1728</v>
      </c>
      <c r="D1757" s="5" t="s">
        <v>7236</v>
      </c>
      <c r="E1757" s="5" t="s">
        <v>7237</v>
      </c>
      <c r="F1757" s="5">
        <v>25.8</v>
      </c>
      <c r="G1757" s="5">
        <v>155</v>
      </c>
    </row>
    <row r="1758" spans="1:7" ht="16.5">
      <c r="A1758" s="5" t="s">
        <v>7238</v>
      </c>
      <c r="B1758" s="10" t="s">
        <v>7239</v>
      </c>
      <c r="C1758" s="5" t="s">
        <v>1729</v>
      </c>
      <c r="D1758" s="5" t="s">
        <v>2236</v>
      </c>
      <c r="E1758" s="5" t="s">
        <v>7240</v>
      </c>
      <c r="F1758" s="5">
        <v>29.8</v>
      </c>
      <c r="G1758" s="5">
        <v>180</v>
      </c>
    </row>
    <row r="1759" spans="1:7" ht="16.5">
      <c r="A1759" s="5" t="s">
        <v>7241</v>
      </c>
      <c r="B1759" s="10" t="s">
        <v>7242</v>
      </c>
      <c r="C1759" s="5" t="s">
        <v>1730</v>
      </c>
      <c r="D1759" s="5" t="s">
        <v>7243</v>
      </c>
      <c r="E1759" s="5" t="s">
        <v>7244</v>
      </c>
      <c r="F1759" s="5">
        <v>19.8</v>
      </c>
      <c r="G1759" s="5">
        <v>119</v>
      </c>
    </row>
    <row r="1760" spans="1:7" ht="16.5">
      <c r="A1760" s="5" t="s">
        <v>7245</v>
      </c>
      <c r="B1760" s="10" t="s">
        <v>7246</v>
      </c>
      <c r="C1760" s="5" t="s">
        <v>7247</v>
      </c>
      <c r="D1760" s="5" t="s">
        <v>2337</v>
      </c>
      <c r="E1760" s="5" t="s">
        <v>7248</v>
      </c>
      <c r="F1760" s="5">
        <v>88.8</v>
      </c>
      <c r="G1760" s="5">
        <v>533</v>
      </c>
    </row>
    <row r="1761" spans="1:7" ht="16.5">
      <c r="A1761" s="5" t="s">
        <v>7249</v>
      </c>
      <c r="B1761" s="10" t="s">
        <v>7250</v>
      </c>
      <c r="C1761" s="5" t="s">
        <v>1731</v>
      </c>
      <c r="D1761" s="5" t="s">
        <v>7251</v>
      </c>
      <c r="E1761" s="5" t="s">
        <v>7248</v>
      </c>
      <c r="F1761" s="5">
        <v>29.8</v>
      </c>
      <c r="G1761" s="5">
        <v>179</v>
      </c>
    </row>
    <row r="1762" spans="1:7" ht="16.5">
      <c r="A1762" s="5" t="s">
        <v>7252</v>
      </c>
      <c r="B1762" s="10" t="s">
        <v>7253</v>
      </c>
      <c r="C1762" s="5" t="s">
        <v>1732</v>
      </c>
      <c r="D1762" s="5" t="s">
        <v>7254</v>
      </c>
      <c r="E1762" s="5" t="s">
        <v>7248</v>
      </c>
      <c r="F1762" s="5">
        <v>23.8</v>
      </c>
      <c r="G1762" s="5">
        <v>143</v>
      </c>
    </row>
    <row r="1763" spans="1:7" ht="16.5">
      <c r="A1763" s="5" t="s">
        <v>7255</v>
      </c>
      <c r="B1763" s="10" t="s">
        <v>7256</v>
      </c>
      <c r="C1763" s="5" t="s">
        <v>1733</v>
      </c>
      <c r="D1763" s="5" t="s">
        <v>7257</v>
      </c>
      <c r="E1763" s="5" t="s">
        <v>7258</v>
      </c>
      <c r="F1763" s="5">
        <v>30</v>
      </c>
      <c r="G1763" s="5">
        <v>180</v>
      </c>
    </row>
    <row r="1764" spans="1:7" ht="16.5">
      <c r="A1764" s="5" t="s">
        <v>7259</v>
      </c>
      <c r="B1764" s="10" t="s">
        <v>7260</v>
      </c>
      <c r="C1764" s="5" t="s">
        <v>1734</v>
      </c>
      <c r="D1764" s="5" t="s">
        <v>7261</v>
      </c>
      <c r="E1764" s="5" t="s">
        <v>7258</v>
      </c>
      <c r="F1764" s="5">
        <v>30</v>
      </c>
      <c r="G1764" s="5">
        <v>180</v>
      </c>
    </row>
    <row r="1765" spans="1:7" ht="16.5">
      <c r="A1765" s="5" t="s">
        <v>7262</v>
      </c>
      <c r="B1765" s="10" t="s">
        <v>7263</v>
      </c>
      <c r="C1765" s="5" t="s">
        <v>1735</v>
      </c>
      <c r="D1765" s="5" t="s">
        <v>7264</v>
      </c>
      <c r="E1765" s="5" t="s">
        <v>7258</v>
      </c>
      <c r="F1765" s="5">
        <v>30</v>
      </c>
      <c r="G1765" s="5">
        <v>180</v>
      </c>
    </row>
    <row r="1766" spans="1:7" ht="16.5">
      <c r="A1766" s="5" t="s">
        <v>7265</v>
      </c>
      <c r="B1766" s="10" t="s">
        <v>7266</v>
      </c>
      <c r="C1766" s="5" t="s">
        <v>1736</v>
      </c>
      <c r="D1766" s="5" t="s">
        <v>7267</v>
      </c>
      <c r="E1766" s="5" t="s">
        <v>7258</v>
      </c>
      <c r="F1766" s="5">
        <v>30</v>
      </c>
      <c r="G1766" s="5">
        <v>180</v>
      </c>
    </row>
    <row r="1767" spans="1:7" ht="16.5">
      <c r="A1767" s="5" t="s">
        <v>7268</v>
      </c>
      <c r="B1767" s="10" t="s">
        <v>7269</v>
      </c>
      <c r="C1767" s="5" t="s">
        <v>1737</v>
      </c>
      <c r="D1767" s="5" t="s">
        <v>7270</v>
      </c>
      <c r="E1767" s="5" t="s">
        <v>7258</v>
      </c>
      <c r="F1767" s="5">
        <v>30</v>
      </c>
      <c r="G1767" s="5">
        <v>180</v>
      </c>
    </row>
    <row r="1768" spans="1:7" ht="16.5">
      <c r="A1768" s="5" t="s">
        <v>7271</v>
      </c>
      <c r="B1768" s="10" t="s">
        <v>7272</v>
      </c>
      <c r="C1768" s="5" t="s">
        <v>1738</v>
      </c>
      <c r="D1768" s="5" t="s">
        <v>7273</v>
      </c>
      <c r="E1768" s="5" t="s">
        <v>7258</v>
      </c>
      <c r="F1768" s="5">
        <v>30</v>
      </c>
      <c r="G1768" s="5">
        <v>180</v>
      </c>
    </row>
    <row r="1769" spans="1:7" ht="16.5">
      <c r="A1769" s="5" t="s">
        <v>7274</v>
      </c>
      <c r="B1769" s="10" t="s">
        <v>7275</v>
      </c>
      <c r="C1769" s="5" t="s">
        <v>1739</v>
      </c>
      <c r="D1769" s="5" t="s">
        <v>7276</v>
      </c>
      <c r="E1769" s="5" t="s">
        <v>7258</v>
      </c>
      <c r="F1769" s="5">
        <v>30</v>
      </c>
      <c r="G1769" s="5">
        <v>180</v>
      </c>
    </row>
    <row r="1770" spans="1:7" ht="16.5">
      <c r="A1770" s="5" t="s">
        <v>7277</v>
      </c>
      <c r="B1770" s="10" t="s">
        <v>7278</v>
      </c>
      <c r="C1770" s="5" t="s">
        <v>1740</v>
      </c>
      <c r="D1770" s="5" t="s">
        <v>7279</v>
      </c>
      <c r="E1770" s="5" t="s">
        <v>7280</v>
      </c>
      <c r="F1770" s="5">
        <v>28</v>
      </c>
      <c r="G1770" s="5">
        <v>168</v>
      </c>
    </row>
    <row r="1771" spans="1:7" ht="16.5">
      <c r="A1771" s="5" t="s">
        <v>7281</v>
      </c>
      <c r="B1771" s="10" t="s">
        <v>7282</v>
      </c>
      <c r="C1771" s="5" t="s">
        <v>1741</v>
      </c>
      <c r="D1771" s="5" t="s">
        <v>2607</v>
      </c>
      <c r="E1771" s="5" t="s">
        <v>7280</v>
      </c>
      <c r="F1771" s="5">
        <v>23</v>
      </c>
      <c r="G1771" s="5">
        <v>138</v>
      </c>
    </row>
    <row r="1772" spans="1:7" ht="16.5">
      <c r="A1772" s="5" t="s">
        <v>7283</v>
      </c>
      <c r="B1772" s="10" t="s">
        <v>7284</v>
      </c>
      <c r="C1772" s="5" t="s">
        <v>1742</v>
      </c>
      <c r="D1772" s="5" t="s">
        <v>7285</v>
      </c>
      <c r="E1772" s="5" t="s">
        <v>7280</v>
      </c>
      <c r="F1772" s="5">
        <v>20</v>
      </c>
      <c r="G1772" s="5">
        <v>120</v>
      </c>
    </row>
    <row r="1773" spans="1:7" ht="16.5">
      <c r="A1773" s="5" t="s">
        <v>7286</v>
      </c>
      <c r="B1773" s="10" t="s">
        <v>7287</v>
      </c>
      <c r="C1773" s="5" t="s">
        <v>1743</v>
      </c>
      <c r="D1773" s="5" t="s">
        <v>7288</v>
      </c>
      <c r="E1773" s="5" t="s">
        <v>7280</v>
      </c>
      <c r="F1773" s="5">
        <v>29</v>
      </c>
      <c r="G1773" s="5">
        <v>174</v>
      </c>
    </row>
    <row r="1774" spans="1:7" ht="16.5">
      <c r="A1774" s="5" t="s">
        <v>7289</v>
      </c>
      <c r="B1774" s="10" t="s">
        <v>7290</v>
      </c>
      <c r="C1774" s="5" t="s">
        <v>1744</v>
      </c>
      <c r="D1774" s="5" t="s">
        <v>7291</v>
      </c>
      <c r="E1774" s="5" t="s">
        <v>7280</v>
      </c>
      <c r="F1774" s="5">
        <v>36</v>
      </c>
      <c r="G1774" s="5">
        <v>216</v>
      </c>
    </row>
    <row r="1775" spans="1:7" ht="16.5">
      <c r="A1775" s="5" t="s">
        <v>7292</v>
      </c>
      <c r="B1775" s="10" t="s">
        <v>7293</v>
      </c>
      <c r="C1775" s="5" t="s">
        <v>1745</v>
      </c>
      <c r="D1775" s="5" t="s">
        <v>7294</v>
      </c>
      <c r="E1775" s="5" t="s">
        <v>7280</v>
      </c>
      <c r="F1775" s="5">
        <v>22</v>
      </c>
      <c r="G1775" s="5">
        <v>132</v>
      </c>
    </row>
    <row r="1776" spans="1:7" ht="16.5">
      <c r="A1776" s="5" t="s">
        <v>7295</v>
      </c>
      <c r="B1776" s="10" t="s">
        <v>7296</v>
      </c>
      <c r="C1776" s="5" t="s">
        <v>1746</v>
      </c>
      <c r="D1776" s="5" t="s">
        <v>7297</v>
      </c>
      <c r="E1776" s="5" t="s">
        <v>7280</v>
      </c>
      <c r="F1776" s="5">
        <v>50</v>
      </c>
      <c r="G1776" s="5">
        <v>300</v>
      </c>
    </row>
    <row r="1777" spans="1:7" ht="16.5">
      <c r="A1777" s="5" t="s">
        <v>7298</v>
      </c>
      <c r="B1777" s="10" t="s">
        <v>7299</v>
      </c>
      <c r="C1777" s="5" t="s">
        <v>1747</v>
      </c>
      <c r="D1777" s="5" t="s">
        <v>7300</v>
      </c>
      <c r="E1777" s="5" t="s">
        <v>7280</v>
      </c>
      <c r="F1777" s="5">
        <v>25</v>
      </c>
      <c r="G1777" s="5">
        <v>150</v>
      </c>
    </row>
    <row r="1778" spans="1:7" ht="16.5">
      <c r="A1778" s="5" t="s">
        <v>7301</v>
      </c>
      <c r="B1778" s="10" t="s">
        <v>7302</v>
      </c>
      <c r="C1778" s="5" t="s">
        <v>1748</v>
      </c>
      <c r="D1778" s="5" t="s">
        <v>7303</v>
      </c>
      <c r="E1778" s="5" t="s">
        <v>7280</v>
      </c>
      <c r="F1778" s="5">
        <v>26</v>
      </c>
      <c r="G1778" s="5">
        <v>156</v>
      </c>
    </row>
    <row r="1779" spans="1:7" ht="16.5">
      <c r="A1779" s="5" t="s">
        <v>7304</v>
      </c>
      <c r="B1779" s="10" t="s">
        <v>7305</v>
      </c>
      <c r="C1779" s="5" t="s">
        <v>1749</v>
      </c>
      <c r="D1779" s="5" t="s">
        <v>7306</v>
      </c>
      <c r="E1779" s="5" t="s">
        <v>7217</v>
      </c>
      <c r="F1779" s="5">
        <v>26.8</v>
      </c>
      <c r="G1779" s="5">
        <v>161</v>
      </c>
    </row>
    <row r="1780" spans="1:7" ht="16.5">
      <c r="A1780" s="5" t="s">
        <v>7307</v>
      </c>
      <c r="B1780" s="10" t="s">
        <v>7308</v>
      </c>
      <c r="C1780" s="5" t="s">
        <v>1750</v>
      </c>
      <c r="D1780" s="5" t="s">
        <v>5685</v>
      </c>
      <c r="E1780" s="5" t="s">
        <v>4984</v>
      </c>
      <c r="F1780" s="5">
        <v>26</v>
      </c>
      <c r="G1780" s="5">
        <v>156</v>
      </c>
    </row>
    <row r="1781" spans="1:7" ht="16.5">
      <c r="A1781" s="5" t="s">
        <v>7309</v>
      </c>
      <c r="B1781" s="10" t="s">
        <v>7310</v>
      </c>
      <c r="C1781" s="5" t="s">
        <v>1751</v>
      </c>
      <c r="D1781" s="5" t="s">
        <v>7311</v>
      </c>
      <c r="E1781" s="5" t="s">
        <v>4984</v>
      </c>
      <c r="F1781" s="5">
        <v>39.8</v>
      </c>
      <c r="G1781" s="5">
        <v>239</v>
      </c>
    </row>
    <row r="1782" spans="1:7" ht="16.5">
      <c r="A1782" s="5" t="s">
        <v>7312</v>
      </c>
      <c r="B1782" s="10" t="s">
        <v>7313</v>
      </c>
      <c r="C1782" s="5" t="s">
        <v>1752</v>
      </c>
      <c r="D1782" s="5" t="s">
        <v>7314</v>
      </c>
      <c r="E1782" s="5" t="s">
        <v>7315</v>
      </c>
      <c r="F1782" s="5">
        <v>90</v>
      </c>
      <c r="G1782" s="5">
        <v>540</v>
      </c>
    </row>
    <row r="1783" spans="1:7" ht="16.5">
      <c r="A1783" s="5" t="s">
        <v>7316</v>
      </c>
      <c r="B1783" s="10" t="s">
        <v>7317</v>
      </c>
      <c r="C1783" s="5" t="s">
        <v>1753</v>
      </c>
      <c r="D1783" s="5" t="s">
        <v>7318</v>
      </c>
      <c r="E1783" s="5" t="s">
        <v>7315</v>
      </c>
      <c r="F1783" s="5">
        <v>90</v>
      </c>
      <c r="G1783" s="5">
        <v>540</v>
      </c>
    </row>
    <row r="1784" spans="1:7" ht="16.5">
      <c r="A1784" s="5" t="s">
        <v>7319</v>
      </c>
      <c r="B1784" s="10" t="s">
        <v>7320</v>
      </c>
      <c r="C1784" s="5" t="s">
        <v>1754</v>
      </c>
      <c r="D1784" s="5" t="s">
        <v>7321</v>
      </c>
      <c r="E1784" s="5" t="s">
        <v>7322</v>
      </c>
      <c r="F1784" s="5">
        <v>28</v>
      </c>
      <c r="G1784" s="5">
        <v>168</v>
      </c>
    </row>
    <row r="1785" spans="1:7" ht="16.5">
      <c r="A1785" s="5" t="s">
        <v>7323</v>
      </c>
      <c r="B1785" s="10" t="s">
        <v>7324</v>
      </c>
      <c r="C1785" s="5" t="s">
        <v>1755</v>
      </c>
      <c r="D1785" s="5" t="s">
        <v>7325</v>
      </c>
      <c r="E1785" s="5" t="s">
        <v>6647</v>
      </c>
      <c r="F1785" s="5">
        <v>47</v>
      </c>
      <c r="G1785" s="5">
        <v>282</v>
      </c>
    </row>
    <row r="1786" spans="1:7" ht="16.5">
      <c r="A1786" s="5" t="s">
        <v>7326</v>
      </c>
      <c r="B1786" s="10" t="s">
        <v>7327</v>
      </c>
      <c r="C1786" s="5" t="s">
        <v>1756</v>
      </c>
      <c r="D1786" s="5" t="s">
        <v>7328</v>
      </c>
      <c r="E1786" s="5" t="s">
        <v>6647</v>
      </c>
      <c r="F1786" s="5">
        <v>22</v>
      </c>
      <c r="G1786" s="5">
        <v>132</v>
      </c>
    </row>
    <row r="1787" spans="1:7" ht="16.5">
      <c r="A1787" s="5" t="s">
        <v>7329</v>
      </c>
      <c r="B1787" s="10" t="s">
        <v>7330</v>
      </c>
      <c r="C1787" s="5" t="s">
        <v>1757</v>
      </c>
      <c r="D1787" s="5" t="s">
        <v>2236</v>
      </c>
      <c r="E1787" s="5" t="s">
        <v>7331</v>
      </c>
      <c r="F1787" s="5">
        <v>24000</v>
      </c>
      <c r="G1787" s="5">
        <v>144000</v>
      </c>
    </row>
    <row r="1788" spans="1:7" ht="16.5">
      <c r="A1788" s="5" t="s">
        <v>7332</v>
      </c>
      <c r="B1788" s="10" t="s">
        <v>7333</v>
      </c>
      <c r="C1788" s="5" t="s">
        <v>1758</v>
      </c>
      <c r="D1788" s="5" t="s">
        <v>7334</v>
      </c>
      <c r="E1788" s="5" t="s">
        <v>6647</v>
      </c>
      <c r="F1788" s="5">
        <v>36</v>
      </c>
      <c r="G1788" s="5">
        <v>216</v>
      </c>
    </row>
    <row r="1789" spans="1:7" ht="16.5">
      <c r="A1789" s="5" t="s">
        <v>7335</v>
      </c>
      <c r="B1789" s="10" t="s">
        <v>2236</v>
      </c>
      <c r="C1789" s="5" t="s">
        <v>1759</v>
      </c>
      <c r="D1789" s="5" t="s">
        <v>7336</v>
      </c>
      <c r="E1789" s="5" t="s">
        <v>7331</v>
      </c>
      <c r="F1789" s="5">
        <v>40</v>
      </c>
      <c r="G1789" s="5">
        <v>240</v>
      </c>
    </row>
    <row r="1790" spans="1:7" ht="16.5">
      <c r="A1790" s="5" t="s">
        <v>7337</v>
      </c>
      <c r="B1790" s="10" t="s">
        <v>7338</v>
      </c>
      <c r="C1790" s="5" t="s">
        <v>1760</v>
      </c>
      <c r="D1790" s="5" t="s">
        <v>7339</v>
      </c>
      <c r="E1790" s="5" t="s">
        <v>6647</v>
      </c>
      <c r="F1790" s="5">
        <v>40</v>
      </c>
      <c r="G1790" s="5">
        <v>240</v>
      </c>
    </row>
    <row r="1791" spans="1:7" ht="16.5">
      <c r="A1791" s="5" t="s">
        <v>7340</v>
      </c>
      <c r="B1791" s="10" t="s">
        <v>7341</v>
      </c>
      <c r="C1791" s="5" t="s">
        <v>1761</v>
      </c>
      <c r="D1791" s="5" t="s">
        <v>7342</v>
      </c>
      <c r="E1791" s="5" t="s">
        <v>6647</v>
      </c>
      <c r="F1791" s="5">
        <v>38</v>
      </c>
      <c r="G1791" s="5">
        <v>228</v>
      </c>
    </row>
    <row r="1792" spans="1:7" ht="16.5">
      <c r="A1792" s="5" t="s">
        <v>7343</v>
      </c>
      <c r="B1792" s="10" t="s">
        <v>7344</v>
      </c>
      <c r="C1792" s="5" t="s">
        <v>1762</v>
      </c>
      <c r="D1792" s="5" t="s">
        <v>7336</v>
      </c>
      <c r="E1792" s="5" t="s">
        <v>6647</v>
      </c>
      <c r="F1792" s="5">
        <v>38</v>
      </c>
      <c r="G1792" s="5">
        <v>228</v>
      </c>
    </row>
    <row r="1793" spans="1:7" ht="16.5">
      <c r="A1793" s="5" t="s">
        <v>7345</v>
      </c>
      <c r="B1793" s="10" t="s">
        <v>7346</v>
      </c>
      <c r="C1793" s="5" t="s">
        <v>1763</v>
      </c>
      <c r="D1793" s="5" t="s">
        <v>7347</v>
      </c>
      <c r="E1793" s="5" t="s">
        <v>7348</v>
      </c>
      <c r="F1793" s="5">
        <v>30</v>
      </c>
      <c r="G1793" s="5">
        <v>180</v>
      </c>
    </row>
    <row r="1794" spans="1:7" ht="16.5">
      <c r="A1794" s="5" t="s">
        <v>7349</v>
      </c>
      <c r="B1794" s="10" t="s">
        <v>7350</v>
      </c>
      <c r="C1794" s="5" t="s">
        <v>7351</v>
      </c>
      <c r="D1794" s="5" t="s">
        <v>7352</v>
      </c>
      <c r="E1794" s="5" t="s">
        <v>7348</v>
      </c>
      <c r="F1794" s="5">
        <v>38</v>
      </c>
      <c r="G1794" s="5">
        <v>228</v>
      </c>
    </row>
    <row r="1795" spans="1:7" ht="16.5">
      <c r="A1795" s="5" t="s">
        <v>7353</v>
      </c>
      <c r="B1795" s="10" t="s">
        <v>7354</v>
      </c>
      <c r="C1795" s="5" t="s">
        <v>1764</v>
      </c>
      <c r="D1795" s="5" t="s">
        <v>7355</v>
      </c>
      <c r="E1795" s="5" t="s">
        <v>4882</v>
      </c>
      <c r="F1795" s="5">
        <v>32</v>
      </c>
      <c r="G1795" s="5">
        <v>192</v>
      </c>
    </row>
    <row r="1796" spans="1:7" ht="16.5">
      <c r="A1796" s="5" t="s">
        <v>7356</v>
      </c>
      <c r="B1796" s="10" t="s">
        <v>7357</v>
      </c>
      <c r="C1796" s="5" t="s">
        <v>1765</v>
      </c>
      <c r="D1796" s="5" t="s">
        <v>2337</v>
      </c>
      <c r="E1796" s="5" t="s">
        <v>4882</v>
      </c>
      <c r="F1796" s="5">
        <v>24</v>
      </c>
      <c r="G1796" s="5">
        <v>144</v>
      </c>
    </row>
    <row r="1797" spans="1:7" ht="16.5">
      <c r="A1797" s="5" t="s">
        <v>7358</v>
      </c>
      <c r="B1797" s="10" t="s">
        <v>7359</v>
      </c>
      <c r="C1797" s="5" t="s">
        <v>1766</v>
      </c>
      <c r="D1797" s="5" t="s">
        <v>7360</v>
      </c>
      <c r="E1797" s="5" t="s">
        <v>7231</v>
      </c>
      <c r="F1797" s="5">
        <v>39.8</v>
      </c>
      <c r="G1797" s="5">
        <v>239</v>
      </c>
    </row>
    <row r="1798" spans="1:7" ht="16.5">
      <c r="A1798" s="5" t="s">
        <v>7361</v>
      </c>
      <c r="B1798" s="10" t="s">
        <v>7362</v>
      </c>
      <c r="C1798" s="5" t="s">
        <v>1767</v>
      </c>
      <c r="D1798" s="5" t="s">
        <v>7363</v>
      </c>
      <c r="E1798" s="5" t="s">
        <v>7231</v>
      </c>
      <c r="F1798" s="5">
        <v>32</v>
      </c>
      <c r="G1798" s="5">
        <v>192</v>
      </c>
    </row>
    <row r="1799" spans="1:7" ht="16.5">
      <c r="A1799" s="5" t="s">
        <v>7364</v>
      </c>
      <c r="B1799" s="10" t="s">
        <v>7365</v>
      </c>
      <c r="C1799" s="5" t="s">
        <v>1768</v>
      </c>
      <c r="D1799" s="5" t="s">
        <v>7366</v>
      </c>
      <c r="E1799" s="5" t="s">
        <v>7231</v>
      </c>
      <c r="F1799" s="5">
        <v>29.8</v>
      </c>
      <c r="G1799" s="5">
        <v>179</v>
      </c>
    </row>
    <row r="1800" spans="1:7" ht="16.5">
      <c r="A1800" s="5" t="s">
        <v>7367</v>
      </c>
      <c r="B1800" s="10" t="s">
        <v>7368</v>
      </c>
      <c r="C1800" s="5" t="s">
        <v>1769</v>
      </c>
      <c r="D1800" s="5" t="s">
        <v>7369</v>
      </c>
      <c r="E1800" s="5" t="s">
        <v>7231</v>
      </c>
      <c r="F1800" s="5">
        <v>29.8</v>
      </c>
      <c r="G1800" s="5">
        <v>179</v>
      </c>
    </row>
    <row r="1801" spans="1:7" ht="16.5">
      <c r="A1801" s="5" t="s">
        <v>7370</v>
      </c>
      <c r="B1801" s="10" t="s">
        <v>7371</v>
      </c>
      <c r="C1801" s="5" t="s">
        <v>1770</v>
      </c>
      <c r="D1801" s="5" t="s">
        <v>7372</v>
      </c>
      <c r="E1801" s="5" t="s">
        <v>7231</v>
      </c>
      <c r="F1801" s="5">
        <v>29.8</v>
      </c>
      <c r="G1801" s="5">
        <v>179</v>
      </c>
    </row>
    <row r="1802" spans="1:7" ht="16.5">
      <c r="A1802" s="5" t="s">
        <v>7373</v>
      </c>
      <c r="B1802" s="10" t="s">
        <v>7374</v>
      </c>
      <c r="C1802" s="5" t="s">
        <v>1771</v>
      </c>
      <c r="D1802" s="5" t="s">
        <v>7375</v>
      </c>
      <c r="E1802" s="5" t="s">
        <v>7231</v>
      </c>
      <c r="F1802" s="5">
        <v>28</v>
      </c>
      <c r="G1802" s="5">
        <v>168</v>
      </c>
    </row>
    <row r="1803" spans="1:7" ht="16.5">
      <c r="A1803" s="5" t="s">
        <v>7376</v>
      </c>
      <c r="B1803" s="10" t="s">
        <v>7377</v>
      </c>
      <c r="C1803" s="5" t="s">
        <v>1772</v>
      </c>
      <c r="D1803" s="5" t="s">
        <v>7378</v>
      </c>
      <c r="E1803" s="5" t="s">
        <v>7231</v>
      </c>
      <c r="F1803" s="5">
        <v>35</v>
      </c>
      <c r="G1803" s="5">
        <v>210</v>
      </c>
    </row>
    <row r="1804" spans="1:7" ht="16.5">
      <c r="A1804" s="5" t="s">
        <v>7379</v>
      </c>
      <c r="B1804" s="10" t="s">
        <v>7380</v>
      </c>
      <c r="C1804" s="5" t="s">
        <v>1773</v>
      </c>
      <c r="D1804" s="5" t="s">
        <v>7381</v>
      </c>
      <c r="E1804" s="5" t="s">
        <v>7231</v>
      </c>
      <c r="F1804" s="5">
        <v>32</v>
      </c>
      <c r="G1804" s="5">
        <v>192</v>
      </c>
    </row>
    <row r="1805" spans="1:7" ht="16.5">
      <c r="A1805" s="5" t="s">
        <v>7382</v>
      </c>
      <c r="B1805" s="10" t="s">
        <v>7383</v>
      </c>
      <c r="C1805" s="5" t="s">
        <v>1774</v>
      </c>
      <c r="D1805" s="5" t="s">
        <v>4540</v>
      </c>
      <c r="E1805" s="5" t="s">
        <v>5026</v>
      </c>
      <c r="F1805" s="5">
        <v>32</v>
      </c>
      <c r="G1805" s="5">
        <v>192</v>
      </c>
    </row>
    <row r="1806" spans="1:7" ht="16.5">
      <c r="A1806" s="5" t="s">
        <v>7384</v>
      </c>
      <c r="B1806" s="10" t="s">
        <v>7385</v>
      </c>
      <c r="C1806" s="5" t="s">
        <v>1775</v>
      </c>
      <c r="D1806" s="5" t="s">
        <v>7386</v>
      </c>
      <c r="E1806" s="5" t="s">
        <v>4949</v>
      </c>
      <c r="F1806" s="5">
        <v>30</v>
      </c>
      <c r="G1806" s="5">
        <v>180</v>
      </c>
    </row>
    <row r="1807" spans="1:7" ht="16.5">
      <c r="A1807" s="5" t="s">
        <v>7387</v>
      </c>
      <c r="B1807" s="10" t="s">
        <v>7388</v>
      </c>
      <c r="C1807" s="5" t="s">
        <v>1776</v>
      </c>
      <c r="D1807" s="5" t="s">
        <v>7389</v>
      </c>
      <c r="E1807" s="5" t="s">
        <v>7390</v>
      </c>
      <c r="F1807" s="5">
        <v>26.8</v>
      </c>
      <c r="G1807" s="5">
        <v>161</v>
      </c>
    </row>
    <row r="1808" spans="1:7" ht="16.5">
      <c r="A1808" s="5" t="s">
        <v>7391</v>
      </c>
      <c r="B1808" s="10" t="s">
        <v>7392</v>
      </c>
      <c r="C1808" s="5" t="s">
        <v>1777</v>
      </c>
      <c r="D1808" s="5" t="s">
        <v>7393</v>
      </c>
      <c r="E1808" s="5" t="s">
        <v>7390</v>
      </c>
      <c r="F1808" s="5">
        <v>28.8</v>
      </c>
      <c r="G1808" s="5">
        <v>173</v>
      </c>
    </row>
    <row r="1809" spans="1:7" ht="16.5">
      <c r="A1809" s="5" t="s">
        <v>7394</v>
      </c>
      <c r="B1809" s="10" t="s">
        <v>7395</v>
      </c>
      <c r="C1809" s="5" t="s">
        <v>1778</v>
      </c>
      <c r="D1809" s="5" t="s">
        <v>2337</v>
      </c>
      <c r="E1809" s="5" t="s">
        <v>7248</v>
      </c>
      <c r="F1809" s="5">
        <v>88.8</v>
      </c>
      <c r="G1809" s="5">
        <v>533</v>
      </c>
    </row>
    <row r="1810" spans="1:7" ht="16.5">
      <c r="A1810" s="5" t="s">
        <v>7396</v>
      </c>
      <c r="B1810" s="10" t="s">
        <v>7397</v>
      </c>
      <c r="C1810" s="5" t="s">
        <v>1779</v>
      </c>
      <c r="D1810" s="5" t="s">
        <v>2337</v>
      </c>
      <c r="E1810" s="5" t="s">
        <v>7248</v>
      </c>
      <c r="F1810" s="5">
        <v>88.8</v>
      </c>
      <c r="G1810" s="5">
        <v>533</v>
      </c>
    </row>
    <row r="1811" spans="1:7" ht="16.5">
      <c r="A1811" s="5" t="s">
        <v>7398</v>
      </c>
      <c r="B1811" s="10" t="s">
        <v>7399</v>
      </c>
      <c r="C1811" s="5" t="s">
        <v>1780</v>
      </c>
      <c r="D1811" s="5" t="s">
        <v>7400</v>
      </c>
      <c r="E1811" s="5" t="s">
        <v>7248</v>
      </c>
      <c r="F1811" s="5">
        <v>32.8</v>
      </c>
      <c r="G1811" s="5">
        <v>197</v>
      </c>
    </row>
    <row r="1812" spans="1:7" ht="16.5">
      <c r="A1812" s="5" t="s">
        <v>7401</v>
      </c>
      <c r="B1812" s="10" t="s">
        <v>7402</v>
      </c>
      <c r="C1812" s="5" t="s">
        <v>1781</v>
      </c>
      <c r="D1812" s="5" t="s">
        <v>7403</v>
      </c>
      <c r="E1812" s="5" t="s">
        <v>7404</v>
      </c>
      <c r="F1812" s="5">
        <v>20</v>
      </c>
      <c r="G1812" s="5">
        <v>120</v>
      </c>
    </row>
    <row r="1813" spans="1:7" ht="16.5">
      <c r="A1813" s="5" t="s">
        <v>7405</v>
      </c>
      <c r="B1813" s="10" t="s">
        <v>7406</v>
      </c>
      <c r="C1813" s="5" t="s">
        <v>1782</v>
      </c>
      <c r="D1813" s="5" t="s">
        <v>7403</v>
      </c>
      <c r="E1813" s="5" t="s">
        <v>7404</v>
      </c>
      <c r="F1813" s="5">
        <v>20</v>
      </c>
      <c r="G1813" s="5">
        <v>120</v>
      </c>
    </row>
    <row r="1814" spans="1:7" ht="16.5">
      <c r="A1814" s="5" t="s">
        <v>7407</v>
      </c>
      <c r="B1814" s="10" t="s">
        <v>7408</v>
      </c>
      <c r="C1814" s="5" t="s">
        <v>1783</v>
      </c>
      <c r="D1814" s="5" t="s">
        <v>7409</v>
      </c>
      <c r="E1814" s="5" t="s">
        <v>7404</v>
      </c>
      <c r="F1814" s="5">
        <v>46</v>
      </c>
      <c r="G1814" s="5">
        <v>276</v>
      </c>
    </row>
    <row r="1815" spans="1:7" ht="16.5">
      <c r="A1815" s="5" t="s">
        <v>7410</v>
      </c>
      <c r="B1815" s="10" t="s">
        <v>7411</v>
      </c>
      <c r="C1815" s="5" t="s">
        <v>1784</v>
      </c>
      <c r="D1815" s="5" t="s">
        <v>7412</v>
      </c>
      <c r="E1815" s="5" t="s">
        <v>7413</v>
      </c>
      <c r="F1815" s="5">
        <v>29.8</v>
      </c>
      <c r="G1815" s="5">
        <v>179</v>
      </c>
    </row>
    <row r="1816" spans="1:7" ht="16.5">
      <c r="A1816" s="5" t="s">
        <v>7414</v>
      </c>
      <c r="B1816" s="10" t="s">
        <v>7415</v>
      </c>
      <c r="C1816" s="5" t="s">
        <v>1785</v>
      </c>
      <c r="D1816" s="5" t="s">
        <v>7416</v>
      </c>
      <c r="E1816" s="5" t="s">
        <v>7413</v>
      </c>
      <c r="F1816" s="5">
        <v>29.8</v>
      </c>
      <c r="G1816" s="5">
        <v>179</v>
      </c>
    </row>
    <row r="1817" spans="1:7" ht="16.5">
      <c r="A1817" s="5" t="s">
        <v>7417</v>
      </c>
      <c r="B1817" s="10" t="s">
        <v>7418</v>
      </c>
      <c r="C1817" s="5" t="s">
        <v>1786</v>
      </c>
      <c r="D1817" s="5" t="s">
        <v>7419</v>
      </c>
      <c r="E1817" s="5" t="s">
        <v>7413</v>
      </c>
      <c r="F1817" s="5">
        <v>29.8</v>
      </c>
      <c r="G1817" s="5">
        <v>179</v>
      </c>
    </row>
    <row r="1818" spans="1:7" ht="16.5">
      <c r="A1818" s="5" t="s">
        <v>7420</v>
      </c>
      <c r="B1818" s="10" t="s">
        <v>7421</v>
      </c>
      <c r="C1818" s="5" t="s">
        <v>1787</v>
      </c>
      <c r="D1818" s="5" t="s">
        <v>7422</v>
      </c>
      <c r="E1818" s="5" t="s">
        <v>7413</v>
      </c>
      <c r="F1818" s="5">
        <v>29.8</v>
      </c>
      <c r="G1818" s="5">
        <v>179</v>
      </c>
    </row>
    <row r="1819" spans="1:7" ht="16.5">
      <c r="A1819" s="5" t="s">
        <v>7423</v>
      </c>
      <c r="B1819" s="10" t="s">
        <v>7424</v>
      </c>
      <c r="C1819" s="5" t="s">
        <v>1788</v>
      </c>
      <c r="D1819" s="5" t="s">
        <v>7425</v>
      </c>
      <c r="E1819" s="5" t="s">
        <v>7413</v>
      </c>
      <c r="F1819" s="5">
        <v>29.8</v>
      </c>
      <c r="G1819" s="5">
        <v>179</v>
      </c>
    </row>
    <row r="1820" spans="1:7" ht="16.5">
      <c r="A1820" s="5" t="s">
        <v>7426</v>
      </c>
      <c r="B1820" s="10" t="s">
        <v>7427</v>
      </c>
      <c r="C1820" s="5" t="s">
        <v>1789</v>
      </c>
      <c r="D1820" s="5" t="s">
        <v>7428</v>
      </c>
      <c r="E1820" s="5" t="s">
        <v>5019</v>
      </c>
      <c r="F1820" s="5">
        <v>26</v>
      </c>
      <c r="G1820" s="5">
        <v>156</v>
      </c>
    </row>
    <row r="1821" spans="1:7" ht="16.5">
      <c r="A1821" s="5" t="s">
        <v>7429</v>
      </c>
      <c r="B1821" s="10" t="s">
        <v>7430</v>
      </c>
      <c r="C1821" s="5" t="s">
        <v>1790</v>
      </c>
      <c r="D1821" s="5" t="s">
        <v>7431</v>
      </c>
      <c r="E1821" s="5" t="s">
        <v>5019</v>
      </c>
      <c r="F1821" s="5">
        <v>20</v>
      </c>
      <c r="G1821" s="5">
        <v>120</v>
      </c>
    </row>
    <row r="1822" spans="1:7" ht="16.5">
      <c r="A1822" s="5" t="s">
        <v>7432</v>
      </c>
      <c r="B1822" s="10" t="s">
        <v>7433</v>
      </c>
      <c r="C1822" s="5" t="s">
        <v>1791</v>
      </c>
      <c r="D1822" s="5" t="s">
        <v>7431</v>
      </c>
      <c r="E1822" s="5" t="s">
        <v>5019</v>
      </c>
      <c r="F1822" s="5">
        <v>20</v>
      </c>
      <c r="G1822" s="5">
        <v>120</v>
      </c>
    </row>
    <row r="1823" spans="1:7" ht="16.5">
      <c r="A1823" s="5" t="s">
        <v>7434</v>
      </c>
      <c r="B1823" s="10" t="s">
        <v>7435</v>
      </c>
      <c r="C1823" s="5" t="s">
        <v>1792</v>
      </c>
      <c r="D1823" s="5" t="s">
        <v>7436</v>
      </c>
      <c r="E1823" s="5" t="s">
        <v>5019</v>
      </c>
      <c r="F1823" s="5">
        <v>28</v>
      </c>
      <c r="G1823" s="5">
        <v>168</v>
      </c>
    </row>
    <row r="1824" spans="1:7" ht="16.5">
      <c r="A1824" s="5" t="s">
        <v>7437</v>
      </c>
      <c r="B1824" s="10" t="s">
        <v>7438</v>
      </c>
      <c r="C1824" s="5" t="s">
        <v>1793</v>
      </c>
      <c r="D1824" s="5" t="s">
        <v>7439</v>
      </c>
      <c r="E1824" s="5" t="s">
        <v>5019</v>
      </c>
      <c r="F1824" s="5">
        <v>39.8</v>
      </c>
      <c r="G1824" s="5">
        <v>239</v>
      </c>
    </row>
    <row r="1825" spans="1:7" ht="16.5">
      <c r="A1825" s="5" t="s">
        <v>7440</v>
      </c>
      <c r="B1825" s="10" t="s">
        <v>7441</v>
      </c>
      <c r="C1825" s="5" t="s">
        <v>1794</v>
      </c>
      <c r="D1825" s="5" t="s">
        <v>7442</v>
      </c>
      <c r="E1825" s="5" t="s">
        <v>7443</v>
      </c>
      <c r="F1825" s="5">
        <v>49</v>
      </c>
      <c r="G1825" s="5">
        <v>294</v>
      </c>
    </row>
    <row r="1826" spans="1:7" ht="16.5">
      <c r="A1826" s="5" t="s">
        <v>7444</v>
      </c>
      <c r="B1826" s="10" t="s">
        <v>7445</v>
      </c>
      <c r="C1826" s="5" t="s">
        <v>1795</v>
      </c>
      <c r="D1826" s="5" t="s">
        <v>7446</v>
      </c>
      <c r="E1826" s="5" t="s">
        <v>7443</v>
      </c>
      <c r="F1826" s="5">
        <v>32</v>
      </c>
      <c r="G1826" s="5">
        <v>192</v>
      </c>
    </row>
    <row r="1827" spans="1:7" ht="16.5">
      <c r="A1827" s="5" t="s">
        <v>7447</v>
      </c>
      <c r="B1827" s="10" t="s">
        <v>7448</v>
      </c>
      <c r="C1827" s="5" t="s">
        <v>1796</v>
      </c>
      <c r="D1827" s="5" t="s">
        <v>7449</v>
      </c>
      <c r="E1827" s="5" t="s">
        <v>7240</v>
      </c>
      <c r="F1827" s="5">
        <v>29.8</v>
      </c>
      <c r="G1827" s="5">
        <v>179</v>
      </c>
    </row>
    <row r="1828" spans="1:7" ht="16.5">
      <c r="A1828" s="5" t="s">
        <v>7450</v>
      </c>
      <c r="B1828" s="10" t="s">
        <v>7451</v>
      </c>
      <c r="C1828" s="5" t="s">
        <v>1797</v>
      </c>
      <c r="D1828" s="5" t="s">
        <v>7452</v>
      </c>
      <c r="E1828" s="5" t="s">
        <v>7240</v>
      </c>
      <c r="F1828" s="5">
        <v>28</v>
      </c>
      <c r="G1828" s="5">
        <v>168</v>
      </c>
    </row>
    <row r="1829" spans="1:7" ht="16.5">
      <c r="A1829" s="5" t="s">
        <v>7453</v>
      </c>
      <c r="B1829" s="10" t="s">
        <v>7454</v>
      </c>
      <c r="C1829" s="5" t="s">
        <v>1798</v>
      </c>
      <c r="D1829" s="5" t="s">
        <v>2559</v>
      </c>
      <c r="E1829" s="5" t="s">
        <v>7240</v>
      </c>
      <c r="F1829" s="5">
        <v>35.6</v>
      </c>
      <c r="G1829" s="5">
        <v>214</v>
      </c>
    </row>
    <row r="1830" spans="1:7" ht="16.5">
      <c r="A1830" s="5" t="s">
        <v>7455</v>
      </c>
      <c r="B1830" s="10" t="s">
        <v>7456</v>
      </c>
      <c r="C1830" s="5" t="s">
        <v>1799</v>
      </c>
      <c r="D1830" s="5" t="s">
        <v>2899</v>
      </c>
      <c r="E1830" s="5" t="s">
        <v>7457</v>
      </c>
      <c r="F1830" s="5">
        <v>13</v>
      </c>
      <c r="G1830" s="5">
        <v>78</v>
      </c>
    </row>
    <row r="1831" spans="1:7" ht="16.5">
      <c r="A1831" s="5" t="s">
        <v>7458</v>
      </c>
      <c r="B1831" s="10" t="s">
        <v>7459</v>
      </c>
      <c r="C1831" s="5" t="s">
        <v>1800</v>
      </c>
      <c r="D1831" s="5" t="s">
        <v>7460</v>
      </c>
      <c r="E1831" s="5" t="s">
        <v>7457</v>
      </c>
      <c r="F1831" s="5">
        <v>25</v>
      </c>
      <c r="G1831" s="5">
        <v>150</v>
      </c>
    </row>
    <row r="1832" spans="1:7" ht="16.5">
      <c r="A1832" s="5" t="s">
        <v>7461</v>
      </c>
      <c r="B1832" s="10" t="s">
        <v>7462</v>
      </c>
      <c r="C1832" s="5" t="s">
        <v>1801</v>
      </c>
      <c r="D1832" s="5" t="s">
        <v>7463</v>
      </c>
      <c r="E1832" s="5" t="s">
        <v>7464</v>
      </c>
      <c r="F1832" s="5">
        <v>28</v>
      </c>
      <c r="G1832" s="5">
        <v>168</v>
      </c>
    </row>
    <row r="1833" spans="1:7" ht="16.5">
      <c r="A1833" s="5" t="s">
        <v>7465</v>
      </c>
      <c r="B1833" s="10" t="s">
        <v>7466</v>
      </c>
      <c r="C1833" s="5" t="s">
        <v>1802</v>
      </c>
      <c r="D1833" s="5" t="s">
        <v>7467</v>
      </c>
      <c r="E1833" s="5" t="s">
        <v>7464</v>
      </c>
      <c r="F1833" s="5">
        <v>35</v>
      </c>
      <c r="G1833" s="5">
        <v>210</v>
      </c>
    </row>
    <row r="1834" spans="1:7" ht="16.5">
      <c r="A1834" s="5" t="s">
        <v>7468</v>
      </c>
      <c r="B1834" s="10" t="s">
        <v>7469</v>
      </c>
      <c r="C1834" s="5" t="s">
        <v>1803</v>
      </c>
      <c r="D1834" s="5" t="s">
        <v>7470</v>
      </c>
      <c r="E1834" s="5" t="s">
        <v>7464</v>
      </c>
      <c r="F1834" s="5">
        <v>35</v>
      </c>
      <c r="G1834" s="5">
        <v>210</v>
      </c>
    </row>
    <row r="1835" spans="1:7" ht="16.5">
      <c r="A1835" s="5" t="s">
        <v>7471</v>
      </c>
      <c r="B1835" s="10" t="s">
        <v>7472</v>
      </c>
      <c r="C1835" s="5" t="s">
        <v>1804</v>
      </c>
      <c r="D1835" s="5" t="s">
        <v>7473</v>
      </c>
      <c r="E1835" s="5" t="s">
        <v>7464</v>
      </c>
      <c r="F1835" s="5">
        <v>31</v>
      </c>
      <c r="G1835" s="5">
        <v>186</v>
      </c>
    </row>
    <row r="1836" spans="1:7" ht="16.5">
      <c r="A1836" s="5" t="s">
        <v>7474</v>
      </c>
      <c r="B1836" s="10" t="s">
        <v>7475</v>
      </c>
      <c r="C1836" s="5" t="s">
        <v>1805</v>
      </c>
      <c r="D1836" s="5" t="s">
        <v>7476</v>
      </c>
      <c r="E1836" s="5" t="s">
        <v>7464</v>
      </c>
      <c r="F1836" s="5">
        <v>33</v>
      </c>
      <c r="G1836" s="5">
        <v>198</v>
      </c>
    </row>
    <row r="1837" spans="1:7" ht="16.5">
      <c r="A1837" s="5" t="s">
        <v>7477</v>
      </c>
      <c r="B1837" s="10" t="s">
        <v>7478</v>
      </c>
      <c r="C1837" s="5" t="s">
        <v>1806</v>
      </c>
      <c r="D1837" s="5" t="s">
        <v>7479</v>
      </c>
      <c r="E1837" s="5" t="s">
        <v>7480</v>
      </c>
      <c r="F1837" s="5">
        <v>28</v>
      </c>
      <c r="G1837" s="5">
        <v>168</v>
      </c>
    </row>
    <row r="1838" spans="1:7" ht="16.5">
      <c r="A1838" s="5" t="s">
        <v>7481</v>
      </c>
      <c r="B1838" s="10" t="s">
        <v>7482</v>
      </c>
      <c r="C1838" s="5" t="s">
        <v>1807</v>
      </c>
      <c r="D1838" s="5" t="s">
        <v>7075</v>
      </c>
      <c r="E1838" s="5" t="s">
        <v>7480</v>
      </c>
      <c r="F1838" s="5">
        <v>39.8</v>
      </c>
      <c r="G1838" s="5">
        <v>239</v>
      </c>
    </row>
    <row r="1839" spans="1:7" ht="16.5">
      <c r="A1839" s="5" t="s">
        <v>7483</v>
      </c>
      <c r="B1839" s="10" t="s">
        <v>7484</v>
      </c>
      <c r="C1839" s="5" t="s">
        <v>1808</v>
      </c>
      <c r="D1839" s="5" t="s">
        <v>7485</v>
      </c>
      <c r="E1839" s="5" t="s">
        <v>7486</v>
      </c>
      <c r="F1839" s="5">
        <v>20</v>
      </c>
      <c r="G1839" s="5">
        <v>120</v>
      </c>
    </row>
    <row r="1840" spans="1:7" ht="16.5">
      <c r="A1840" s="5" t="s">
        <v>7487</v>
      </c>
      <c r="B1840" s="10" t="s">
        <v>7488</v>
      </c>
      <c r="C1840" s="5" t="s">
        <v>1809</v>
      </c>
      <c r="D1840" s="5" t="s">
        <v>7489</v>
      </c>
      <c r="E1840" s="5" t="s">
        <v>5009</v>
      </c>
      <c r="F1840" s="5">
        <v>18</v>
      </c>
      <c r="G1840" s="5">
        <v>108</v>
      </c>
    </row>
    <row r="1841" spans="1:7" ht="16.5">
      <c r="A1841" s="5" t="s">
        <v>7490</v>
      </c>
      <c r="B1841" s="10" t="s">
        <v>7491</v>
      </c>
      <c r="C1841" s="5" t="s">
        <v>1810</v>
      </c>
      <c r="D1841" s="5" t="s">
        <v>7492</v>
      </c>
      <c r="E1841" s="5" t="s">
        <v>5009</v>
      </c>
      <c r="F1841" s="5">
        <v>32</v>
      </c>
      <c r="G1841" s="5">
        <v>192</v>
      </c>
    </row>
    <row r="1842" spans="1:7" ht="16.5">
      <c r="A1842" s="5" t="s">
        <v>7493</v>
      </c>
      <c r="B1842" s="10" t="s">
        <v>7494</v>
      </c>
      <c r="C1842" s="5" t="s">
        <v>1811</v>
      </c>
      <c r="D1842" s="5" t="s">
        <v>7492</v>
      </c>
      <c r="E1842" s="5" t="s">
        <v>5009</v>
      </c>
      <c r="F1842" s="5">
        <v>32</v>
      </c>
      <c r="G1842" s="5">
        <v>192</v>
      </c>
    </row>
    <row r="1843" spans="1:7" ht="16.5">
      <c r="A1843" s="5" t="s">
        <v>7495</v>
      </c>
      <c r="B1843" s="10" t="s">
        <v>7496</v>
      </c>
      <c r="C1843" s="5" t="s">
        <v>1812</v>
      </c>
      <c r="D1843" s="5" t="s">
        <v>7497</v>
      </c>
      <c r="E1843" s="5" t="s">
        <v>5009</v>
      </c>
      <c r="F1843" s="5">
        <v>28</v>
      </c>
      <c r="G1843" s="5">
        <v>168</v>
      </c>
    </row>
    <row r="1844" spans="1:7" ht="16.5">
      <c r="A1844" s="5" t="s">
        <v>7498</v>
      </c>
      <c r="B1844" s="10" t="s">
        <v>7499</v>
      </c>
      <c r="C1844" s="5" t="s">
        <v>1813</v>
      </c>
      <c r="D1844" s="5" t="s">
        <v>7500</v>
      </c>
      <c r="E1844" s="5" t="s">
        <v>5009</v>
      </c>
      <c r="F1844" s="5">
        <v>30</v>
      </c>
      <c r="G1844" s="5">
        <v>180</v>
      </c>
    </row>
    <row r="1845" spans="1:7" ht="16.5">
      <c r="A1845" s="5" t="s">
        <v>7501</v>
      </c>
      <c r="B1845" s="10" t="s">
        <v>7502</v>
      </c>
      <c r="C1845" s="5" t="s">
        <v>1814</v>
      </c>
      <c r="D1845" s="5" t="s">
        <v>7503</v>
      </c>
      <c r="E1845" s="5" t="s">
        <v>7504</v>
      </c>
      <c r="F1845" s="5">
        <v>35</v>
      </c>
      <c r="G1845" s="5">
        <v>210</v>
      </c>
    </row>
    <row r="1846" spans="1:7" ht="16.5">
      <c r="A1846" s="5" t="s">
        <v>7505</v>
      </c>
      <c r="B1846" s="10" t="s">
        <v>7506</v>
      </c>
      <c r="C1846" s="5" t="s">
        <v>1815</v>
      </c>
      <c r="D1846" s="5" t="s">
        <v>7507</v>
      </c>
      <c r="E1846" s="5" t="s">
        <v>7504</v>
      </c>
      <c r="F1846" s="5">
        <v>26.8</v>
      </c>
      <c r="G1846" s="5">
        <v>161</v>
      </c>
    </row>
    <row r="1847" spans="1:7" ht="16.5">
      <c r="A1847" s="5" t="s">
        <v>7508</v>
      </c>
      <c r="B1847" s="10" t="s">
        <v>7509</v>
      </c>
      <c r="C1847" s="5" t="s">
        <v>1816</v>
      </c>
      <c r="D1847" s="5" t="s">
        <v>7075</v>
      </c>
      <c r="E1847" s="5" t="s">
        <v>7504</v>
      </c>
      <c r="F1847" s="5">
        <v>28</v>
      </c>
      <c r="G1847" s="5">
        <v>168</v>
      </c>
    </row>
    <row r="1848" spans="1:7" ht="16.5">
      <c r="A1848" s="5" t="s">
        <v>7510</v>
      </c>
      <c r="B1848" s="10" t="s">
        <v>7511</v>
      </c>
      <c r="C1848" s="5" t="s">
        <v>1817</v>
      </c>
      <c r="D1848" s="5" t="s">
        <v>7512</v>
      </c>
      <c r="E1848" s="5" t="s">
        <v>7513</v>
      </c>
      <c r="F1848" s="5">
        <v>39.8</v>
      </c>
      <c r="G1848" s="5">
        <v>239</v>
      </c>
    </row>
    <row r="1849" spans="1:7" ht="16.5">
      <c r="A1849" s="5" t="s">
        <v>7514</v>
      </c>
      <c r="B1849" s="10" t="s">
        <v>7515</v>
      </c>
      <c r="C1849" s="5" t="s">
        <v>1818</v>
      </c>
      <c r="D1849" s="5" t="s">
        <v>7516</v>
      </c>
      <c r="E1849" s="5" t="s">
        <v>4977</v>
      </c>
      <c r="F1849" s="5">
        <v>49.8</v>
      </c>
      <c r="G1849" s="5">
        <v>299</v>
      </c>
    </row>
    <row r="1850" spans="1:7" ht="16.5">
      <c r="A1850" s="5" t="s">
        <v>7517</v>
      </c>
      <c r="B1850" s="10" t="s">
        <v>7518</v>
      </c>
      <c r="C1850" s="5" t="s">
        <v>1819</v>
      </c>
      <c r="D1850" s="5" t="s">
        <v>7519</v>
      </c>
      <c r="E1850" s="5" t="s">
        <v>4977</v>
      </c>
      <c r="F1850" s="5">
        <v>98</v>
      </c>
      <c r="G1850" s="5">
        <v>588</v>
      </c>
    </row>
    <row r="1851" spans="1:7" ht="16.5">
      <c r="A1851" s="5" t="s">
        <v>7520</v>
      </c>
      <c r="B1851" s="10" t="s">
        <v>7521</v>
      </c>
      <c r="C1851" s="5" t="s">
        <v>1820</v>
      </c>
      <c r="D1851" s="5" t="s">
        <v>7522</v>
      </c>
      <c r="E1851" s="5" t="s">
        <v>4882</v>
      </c>
      <c r="F1851" s="5">
        <v>35</v>
      </c>
      <c r="G1851" s="5">
        <v>210</v>
      </c>
    </row>
    <row r="1852" spans="1:7" ht="16.5">
      <c r="A1852" s="5" t="s">
        <v>7523</v>
      </c>
      <c r="B1852" s="10" t="s">
        <v>7524</v>
      </c>
      <c r="C1852" s="5" t="s">
        <v>1821</v>
      </c>
      <c r="D1852" s="5" t="s">
        <v>7525</v>
      </c>
      <c r="E1852" s="5" t="s">
        <v>4882</v>
      </c>
      <c r="F1852" s="5">
        <v>29</v>
      </c>
      <c r="G1852" s="5">
        <v>174</v>
      </c>
    </row>
    <row r="1853" spans="1:7" ht="16.5">
      <c r="A1853" s="5" t="s">
        <v>7526</v>
      </c>
      <c r="B1853" s="10" t="s">
        <v>7527</v>
      </c>
      <c r="C1853" s="5" t="s">
        <v>1822</v>
      </c>
      <c r="D1853" s="5" t="s">
        <v>6883</v>
      </c>
      <c r="E1853" s="5" t="s">
        <v>4882</v>
      </c>
      <c r="F1853" s="5">
        <v>45</v>
      </c>
      <c r="G1853" s="5">
        <v>270</v>
      </c>
    </row>
    <row r="1854" spans="1:7" ht="16.5">
      <c r="A1854" s="5" t="s">
        <v>7528</v>
      </c>
      <c r="B1854" s="10" t="s">
        <v>7529</v>
      </c>
      <c r="C1854" s="5" t="s">
        <v>1823</v>
      </c>
      <c r="D1854" s="5" t="s">
        <v>7530</v>
      </c>
      <c r="E1854" s="5" t="s">
        <v>7531</v>
      </c>
      <c r="F1854" s="5">
        <v>39</v>
      </c>
      <c r="G1854" s="5">
        <v>234</v>
      </c>
    </row>
    <row r="1855" spans="1:7" ht="16.5">
      <c r="A1855" s="5" t="s">
        <v>7532</v>
      </c>
      <c r="B1855" s="10" t="s">
        <v>7533</v>
      </c>
      <c r="C1855" s="5" t="s">
        <v>1824</v>
      </c>
      <c r="D1855" s="5" t="s">
        <v>7534</v>
      </c>
      <c r="E1855" s="5" t="s">
        <v>7535</v>
      </c>
      <c r="F1855" s="5">
        <v>20</v>
      </c>
      <c r="G1855" s="5">
        <v>120</v>
      </c>
    </row>
    <row r="1856" spans="1:7" ht="16.5">
      <c r="A1856" s="5" t="s">
        <v>7536</v>
      </c>
      <c r="B1856" s="10" t="s">
        <v>7537</v>
      </c>
      <c r="C1856" s="5" t="s">
        <v>1825</v>
      </c>
      <c r="D1856" s="5" t="s">
        <v>7538</v>
      </c>
      <c r="E1856" s="5" t="s">
        <v>7539</v>
      </c>
      <c r="F1856" s="5">
        <v>28</v>
      </c>
      <c r="G1856" s="5">
        <v>168</v>
      </c>
    </row>
    <row r="1857" spans="1:7" ht="16.5">
      <c r="A1857" s="5" t="s">
        <v>7540</v>
      </c>
      <c r="B1857" s="10" t="s">
        <v>7541</v>
      </c>
      <c r="C1857" s="5" t="s">
        <v>1826</v>
      </c>
      <c r="D1857" s="5" t="s">
        <v>7542</v>
      </c>
      <c r="E1857" s="5" t="s">
        <v>7348</v>
      </c>
      <c r="F1857" s="5">
        <v>37</v>
      </c>
      <c r="G1857" s="5">
        <v>222</v>
      </c>
    </row>
    <row r="1858" spans="1:7" ht="16.5">
      <c r="A1858" s="5" t="s">
        <v>7543</v>
      </c>
      <c r="B1858" s="10" t="s">
        <v>7544</v>
      </c>
      <c r="C1858" s="5" t="s">
        <v>1827</v>
      </c>
      <c r="D1858" s="5" t="s">
        <v>7545</v>
      </c>
      <c r="E1858" s="5" t="s">
        <v>7348</v>
      </c>
      <c r="F1858" s="5">
        <v>38</v>
      </c>
      <c r="G1858" s="5">
        <v>228</v>
      </c>
    </row>
    <row r="1859" spans="1:7" ht="16.5">
      <c r="A1859" s="5" t="s">
        <v>7546</v>
      </c>
      <c r="B1859" s="10" t="s">
        <v>2236</v>
      </c>
      <c r="C1859" s="5" t="s">
        <v>1828</v>
      </c>
      <c r="D1859" s="5" t="s">
        <v>7547</v>
      </c>
      <c r="E1859" s="5" t="s">
        <v>7348</v>
      </c>
      <c r="F1859" s="5">
        <v>23.8</v>
      </c>
      <c r="G1859" s="5">
        <v>143</v>
      </c>
    </row>
    <row r="1860" spans="1:7" ht="16.5">
      <c r="A1860" s="5" t="s">
        <v>7548</v>
      </c>
      <c r="B1860" s="10" t="s">
        <v>7549</v>
      </c>
      <c r="C1860" s="5" t="s">
        <v>1829</v>
      </c>
      <c r="D1860" s="5" t="s">
        <v>7550</v>
      </c>
      <c r="E1860" s="5" t="s">
        <v>7348</v>
      </c>
      <c r="F1860" s="5">
        <v>36</v>
      </c>
      <c r="G1860" s="5">
        <v>216</v>
      </c>
    </row>
    <row r="1861" spans="1:7" ht="16.5">
      <c r="A1861" s="5" t="s">
        <v>7551</v>
      </c>
      <c r="B1861" s="10" t="s">
        <v>7552</v>
      </c>
      <c r="C1861" s="5" t="s">
        <v>1830</v>
      </c>
      <c r="D1861" s="5" t="s">
        <v>7545</v>
      </c>
      <c r="E1861" s="5" t="s">
        <v>7348</v>
      </c>
      <c r="F1861" s="5">
        <v>34</v>
      </c>
      <c r="G1861" s="5">
        <v>204</v>
      </c>
    </row>
    <row r="1862" spans="1:7" ht="16.5">
      <c r="A1862" s="5" t="s">
        <v>7553</v>
      </c>
      <c r="B1862" s="10" t="s">
        <v>7554</v>
      </c>
      <c r="C1862" s="5" t="s">
        <v>1831</v>
      </c>
      <c r="D1862" s="5" t="s">
        <v>7555</v>
      </c>
      <c r="E1862" s="5" t="s">
        <v>7348</v>
      </c>
      <c r="F1862" s="5">
        <v>35</v>
      </c>
      <c r="G1862" s="5">
        <v>210</v>
      </c>
    </row>
    <row r="1863" spans="1:7" ht="16.5">
      <c r="A1863" s="5" t="s">
        <v>7556</v>
      </c>
      <c r="B1863" s="10" t="s">
        <v>7557</v>
      </c>
      <c r="C1863" s="5" t="s">
        <v>1832</v>
      </c>
      <c r="D1863" s="5" t="s">
        <v>7558</v>
      </c>
      <c r="E1863" s="5" t="s">
        <v>7348</v>
      </c>
      <c r="F1863" s="5">
        <v>37</v>
      </c>
      <c r="G1863" s="5">
        <v>222</v>
      </c>
    </row>
    <row r="1864" spans="1:7" ht="16.5">
      <c r="A1864" s="5" t="s">
        <v>7559</v>
      </c>
      <c r="B1864" s="10" t="s">
        <v>2236</v>
      </c>
      <c r="C1864" s="5" t="s">
        <v>1833</v>
      </c>
      <c r="D1864" s="5" t="s">
        <v>3406</v>
      </c>
      <c r="E1864" s="5" t="s">
        <v>7348</v>
      </c>
      <c r="F1864" s="5">
        <v>25</v>
      </c>
      <c r="G1864" s="5">
        <v>150</v>
      </c>
    </row>
    <row r="1865" spans="1:7" ht="16.5">
      <c r="A1865" s="5" t="s">
        <v>7560</v>
      </c>
      <c r="B1865" s="10" t="s">
        <v>2236</v>
      </c>
      <c r="C1865" s="5" t="s">
        <v>1834</v>
      </c>
      <c r="D1865" s="5" t="s">
        <v>7561</v>
      </c>
      <c r="E1865" s="5" t="s">
        <v>7348</v>
      </c>
      <c r="F1865" s="5">
        <v>24</v>
      </c>
      <c r="G1865" s="5">
        <v>144</v>
      </c>
    </row>
    <row r="1866" spans="1:7" ht="16.5">
      <c r="A1866" s="5" t="s">
        <v>7562</v>
      </c>
      <c r="B1866" s="10" t="s">
        <v>2236</v>
      </c>
      <c r="C1866" s="5" t="s">
        <v>1835</v>
      </c>
      <c r="D1866" s="5" t="s">
        <v>7563</v>
      </c>
      <c r="E1866" s="5" t="s">
        <v>7348</v>
      </c>
      <c r="F1866" s="5">
        <v>16.8</v>
      </c>
      <c r="G1866" s="5">
        <v>101</v>
      </c>
    </row>
    <row r="1867" spans="1:7" ht="16.5">
      <c r="A1867" s="5" t="s">
        <v>7564</v>
      </c>
      <c r="B1867" s="10" t="s">
        <v>2236</v>
      </c>
      <c r="C1867" s="5" t="s">
        <v>1836</v>
      </c>
      <c r="D1867" s="5" t="s">
        <v>7565</v>
      </c>
      <c r="E1867" s="5" t="s">
        <v>7348</v>
      </c>
      <c r="F1867" s="5">
        <v>16.8</v>
      </c>
      <c r="G1867" s="5">
        <v>101</v>
      </c>
    </row>
    <row r="1868" spans="1:7" ht="16.5">
      <c r="A1868" s="5" t="s">
        <v>7566</v>
      </c>
      <c r="B1868" s="10" t="s">
        <v>2236</v>
      </c>
      <c r="C1868" s="5" t="s">
        <v>1837</v>
      </c>
      <c r="D1868" s="5" t="s">
        <v>7565</v>
      </c>
      <c r="E1868" s="5" t="s">
        <v>7348</v>
      </c>
      <c r="F1868" s="5">
        <v>16.8</v>
      </c>
      <c r="G1868" s="5">
        <v>101</v>
      </c>
    </row>
    <row r="1869" spans="1:7" ht="16.5">
      <c r="A1869" s="5" t="s">
        <v>7567</v>
      </c>
      <c r="B1869" s="10" t="s">
        <v>2236</v>
      </c>
      <c r="C1869" s="5" t="s">
        <v>1838</v>
      </c>
      <c r="D1869" s="5" t="s">
        <v>7568</v>
      </c>
      <c r="E1869" s="5" t="s">
        <v>7348</v>
      </c>
      <c r="F1869" s="5">
        <v>22</v>
      </c>
      <c r="G1869" s="5">
        <v>132</v>
      </c>
    </row>
    <row r="1870" spans="1:7" ht="16.5">
      <c r="A1870" s="5" t="s">
        <v>7569</v>
      </c>
      <c r="B1870" s="10" t="s">
        <v>2236</v>
      </c>
      <c r="C1870" s="5" t="s">
        <v>1839</v>
      </c>
      <c r="D1870" s="5" t="s">
        <v>7570</v>
      </c>
      <c r="E1870" s="5" t="s">
        <v>7348</v>
      </c>
      <c r="F1870" s="5">
        <v>30</v>
      </c>
      <c r="G1870" s="5">
        <v>180</v>
      </c>
    </row>
    <row r="1871" spans="1:7" ht="16.5">
      <c r="A1871" s="5" t="s">
        <v>7571</v>
      </c>
      <c r="B1871" s="10" t="s">
        <v>2236</v>
      </c>
      <c r="C1871" s="5" t="s">
        <v>1840</v>
      </c>
      <c r="D1871" s="5" t="s">
        <v>7568</v>
      </c>
      <c r="E1871" s="5" t="s">
        <v>7348</v>
      </c>
      <c r="F1871" s="5">
        <v>23</v>
      </c>
      <c r="G1871" s="5">
        <v>138</v>
      </c>
    </row>
    <row r="1872" spans="1:7" ht="16.5">
      <c r="A1872" s="5" t="s">
        <v>7572</v>
      </c>
      <c r="B1872" s="10" t="s">
        <v>7573</v>
      </c>
      <c r="C1872" s="5" t="s">
        <v>1841</v>
      </c>
      <c r="D1872" s="5" t="s">
        <v>7574</v>
      </c>
      <c r="E1872" s="5" t="s">
        <v>7348</v>
      </c>
      <c r="F1872" s="5">
        <v>28</v>
      </c>
      <c r="G1872" s="5">
        <v>168</v>
      </c>
    </row>
    <row r="1873" spans="1:7" ht="16.5">
      <c r="A1873" s="5" t="s">
        <v>7575</v>
      </c>
      <c r="B1873" s="10" t="s">
        <v>7576</v>
      </c>
      <c r="C1873" s="5" t="s">
        <v>1842</v>
      </c>
      <c r="D1873" s="5" t="s">
        <v>7577</v>
      </c>
      <c r="E1873" s="5" t="s">
        <v>5026</v>
      </c>
      <c r="F1873" s="5">
        <v>127</v>
      </c>
      <c r="G1873" s="5">
        <v>762</v>
      </c>
    </row>
    <row r="1874" spans="1:7" ht="16.5">
      <c r="A1874" s="5" t="s">
        <v>7578</v>
      </c>
      <c r="B1874" s="10" t="s">
        <v>7579</v>
      </c>
      <c r="C1874" s="5" t="s">
        <v>1843</v>
      </c>
      <c r="D1874" s="5" t="s">
        <v>7580</v>
      </c>
      <c r="E1874" s="5" t="s">
        <v>7581</v>
      </c>
      <c r="F1874" s="5">
        <v>32</v>
      </c>
      <c r="G1874" s="5">
        <v>192</v>
      </c>
    </row>
    <row r="1875" spans="1:7" ht="16.5">
      <c r="A1875" s="5" t="s">
        <v>7582</v>
      </c>
      <c r="B1875" s="10" t="s">
        <v>7583</v>
      </c>
      <c r="C1875" s="5" t="s">
        <v>1844</v>
      </c>
      <c r="D1875" s="5" t="s">
        <v>7584</v>
      </c>
      <c r="E1875" s="5" t="s">
        <v>7581</v>
      </c>
      <c r="F1875" s="5">
        <v>29.8</v>
      </c>
      <c r="G1875" s="5">
        <v>179</v>
      </c>
    </row>
    <row r="1876" spans="1:7" ht="16.5">
      <c r="A1876" s="5" t="s">
        <v>7585</v>
      </c>
      <c r="B1876" s="10" t="s">
        <v>7586</v>
      </c>
      <c r="C1876" s="5" t="s">
        <v>1845</v>
      </c>
      <c r="D1876" s="5" t="s">
        <v>7587</v>
      </c>
      <c r="E1876" s="5" t="s">
        <v>7588</v>
      </c>
      <c r="F1876" s="5">
        <v>88</v>
      </c>
      <c r="G1876" s="5">
        <v>528</v>
      </c>
    </row>
    <row r="1877" spans="1:7" ht="16.5">
      <c r="A1877" s="5" t="s">
        <v>7589</v>
      </c>
      <c r="B1877" s="10" t="s">
        <v>7590</v>
      </c>
      <c r="C1877" s="5" t="s">
        <v>1846</v>
      </c>
      <c r="D1877" s="5" t="s">
        <v>7591</v>
      </c>
      <c r="E1877" s="5" t="s">
        <v>7592</v>
      </c>
      <c r="F1877" s="5">
        <v>58</v>
      </c>
      <c r="G1877" s="5">
        <v>348</v>
      </c>
    </row>
    <row r="1878" spans="1:7" ht="16.5">
      <c r="A1878" s="5" t="s">
        <v>7593</v>
      </c>
      <c r="B1878" s="10" t="s">
        <v>7594</v>
      </c>
      <c r="C1878" s="5" t="s">
        <v>1847</v>
      </c>
      <c r="D1878" s="5" t="s">
        <v>7595</v>
      </c>
      <c r="E1878" s="5" t="s">
        <v>7596</v>
      </c>
      <c r="F1878" s="5">
        <v>32.8</v>
      </c>
      <c r="G1878" s="5">
        <v>194</v>
      </c>
    </row>
    <row r="1879" spans="1:7" ht="16.5">
      <c r="A1879" s="5" t="s">
        <v>7597</v>
      </c>
      <c r="B1879" s="10" t="s">
        <v>7598</v>
      </c>
      <c r="C1879" s="5" t="s">
        <v>1848</v>
      </c>
      <c r="D1879" s="5" t="s">
        <v>2607</v>
      </c>
      <c r="E1879" s="5" t="s">
        <v>7599</v>
      </c>
      <c r="F1879" s="5">
        <v>40</v>
      </c>
      <c r="G1879" s="5">
        <v>240</v>
      </c>
    </row>
    <row r="1880" spans="1:7" ht="16.5">
      <c r="A1880" s="5" t="s">
        <v>7600</v>
      </c>
      <c r="B1880" s="10" t="s">
        <v>7601</v>
      </c>
      <c r="C1880" s="5" t="s">
        <v>1849</v>
      </c>
      <c r="D1880" s="5" t="s">
        <v>2236</v>
      </c>
      <c r="E1880" s="5" t="s">
        <v>7602</v>
      </c>
      <c r="F1880" s="5">
        <v>65.8</v>
      </c>
      <c r="G1880" s="5">
        <v>395</v>
      </c>
    </row>
    <row r="1881" spans="1:7" ht="16.5">
      <c r="A1881" s="5" t="s">
        <v>7603</v>
      </c>
      <c r="B1881" s="10" t="s">
        <v>7604</v>
      </c>
      <c r="C1881" s="5" t="s">
        <v>1850</v>
      </c>
      <c r="D1881" s="5" t="s">
        <v>7605</v>
      </c>
      <c r="E1881" s="5" t="s">
        <v>7602</v>
      </c>
      <c r="F1881" s="5">
        <v>138</v>
      </c>
      <c r="G1881" s="5">
        <v>828</v>
      </c>
    </row>
    <row r="1882" spans="1:7" ht="16.5">
      <c r="A1882" s="5" t="s">
        <v>7606</v>
      </c>
      <c r="B1882" s="10" t="s">
        <v>7607</v>
      </c>
      <c r="C1882" s="5" t="s">
        <v>1851</v>
      </c>
      <c r="D1882" s="5" t="s">
        <v>7608</v>
      </c>
      <c r="E1882" s="5" t="s">
        <v>7609</v>
      </c>
      <c r="F1882" s="5">
        <v>8.5</v>
      </c>
      <c r="G1882" s="5">
        <v>51</v>
      </c>
    </row>
    <row r="1883" spans="1:7" ht="16.5">
      <c r="A1883" s="5" t="s">
        <v>7610</v>
      </c>
      <c r="B1883" s="10" t="s">
        <v>7611</v>
      </c>
      <c r="C1883" s="5" t="s">
        <v>1852</v>
      </c>
      <c r="D1883" s="5" t="s">
        <v>7612</v>
      </c>
      <c r="E1883" s="5" t="s">
        <v>7613</v>
      </c>
      <c r="F1883" s="5">
        <v>20</v>
      </c>
      <c r="G1883" s="5">
        <v>120</v>
      </c>
    </row>
    <row r="1884" spans="1:7" ht="16.5">
      <c r="A1884" s="5" t="s">
        <v>7614</v>
      </c>
      <c r="B1884" s="10" t="s">
        <v>7615</v>
      </c>
      <c r="C1884" s="5" t="s">
        <v>1853</v>
      </c>
      <c r="D1884" s="5" t="s">
        <v>7616</v>
      </c>
      <c r="E1884" s="5" t="s">
        <v>7613</v>
      </c>
      <c r="F1884" s="5">
        <v>36</v>
      </c>
      <c r="G1884" s="5">
        <v>216</v>
      </c>
    </row>
    <row r="1885" spans="1:7" ht="16.5">
      <c r="A1885" s="5" t="s">
        <v>7617</v>
      </c>
      <c r="B1885" s="10" t="s">
        <v>7618</v>
      </c>
      <c r="C1885" s="5" t="s">
        <v>1854</v>
      </c>
      <c r="D1885" s="5" t="s">
        <v>7619</v>
      </c>
      <c r="E1885" s="5" t="s">
        <v>7613</v>
      </c>
      <c r="F1885" s="5">
        <v>15</v>
      </c>
      <c r="G1885" s="5">
        <v>90</v>
      </c>
    </row>
    <row r="1886" spans="1:7" ht="16.5">
      <c r="A1886" s="5" t="s">
        <v>7620</v>
      </c>
      <c r="B1886" s="10" t="s">
        <v>7618</v>
      </c>
      <c r="C1886" s="5" t="s">
        <v>1855</v>
      </c>
      <c r="D1886" s="5" t="s">
        <v>2236</v>
      </c>
      <c r="E1886" s="5" t="s">
        <v>2236</v>
      </c>
      <c r="F1886" s="5">
        <v>15</v>
      </c>
      <c r="G1886" s="5">
        <v>90</v>
      </c>
    </row>
    <row r="1887" spans="1:7" ht="16.5">
      <c r="A1887" s="5" t="s">
        <v>7621</v>
      </c>
      <c r="B1887" s="10" t="s">
        <v>7618</v>
      </c>
      <c r="C1887" s="5" t="s">
        <v>1856</v>
      </c>
      <c r="D1887" s="5" t="s">
        <v>7619</v>
      </c>
      <c r="E1887" s="5" t="s">
        <v>7613</v>
      </c>
      <c r="F1887" s="5">
        <v>15</v>
      </c>
      <c r="G1887" s="5">
        <v>90</v>
      </c>
    </row>
    <row r="1888" spans="1:7" ht="16.5">
      <c r="A1888" s="5" t="s">
        <v>7622</v>
      </c>
      <c r="B1888" s="10" t="s">
        <v>7623</v>
      </c>
      <c r="C1888" s="5" t="s">
        <v>1857</v>
      </c>
      <c r="D1888" s="5" t="s">
        <v>2236</v>
      </c>
      <c r="E1888" s="5" t="s">
        <v>7624</v>
      </c>
      <c r="F1888" s="5">
        <v>25</v>
      </c>
      <c r="G1888" s="5">
        <v>150</v>
      </c>
    </row>
    <row r="1889" spans="1:7" ht="16.5">
      <c r="A1889" s="5" t="s">
        <v>7625</v>
      </c>
      <c r="B1889" s="10" t="s">
        <v>7626</v>
      </c>
      <c r="C1889" s="5" t="s">
        <v>1858</v>
      </c>
      <c r="D1889" s="5" t="s">
        <v>7627</v>
      </c>
      <c r="E1889" s="5" t="s">
        <v>2236</v>
      </c>
      <c r="F1889" s="5"/>
      <c r="G1889" s="5">
        <v>125</v>
      </c>
    </row>
    <row r="1890" spans="1:7" ht="16.5">
      <c r="A1890" s="5" t="s">
        <v>7628</v>
      </c>
      <c r="B1890" s="10" t="s">
        <v>7629</v>
      </c>
      <c r="C1890" s="5" t="s">
        <v>1859</v>
      </c>
      <c r="D1890" s="5" t="s">
        <v>4230</v>
      </c>
      <c r="E1890" s="5" t="s">
        <v>4643</v>
      </c>
      <c r="F1890" s="5">
        <v>900</v>
      </c>
      <c r="G1890" s="5">
        <v>5400</v>
      </c>
    </row>
    <row r="1891" spans="1:7" ht="16.5">
      <c r="A1891" s="5" t="s">
        <v>7630</v>
      </c>
      <c r="B1891" s="10" t="s">
        <v>7631</v>
      </c>
      <c r="C1891" s="5" t="s">
        <v>1860</v>
      </c>
      <c r="D1891" s="5" t="s">
        <v>7632</v>
      </c>
      <c r="E1891" s="5" t="s">
        <v>4643</v>
      </c>
      <c r="F1891" s="5">
        <v>340</v>
      </c>
      <c r="G1891" s="5">
        <v>2040</v>
      </c>
    </row>
    <row r="1892" spans="1:7" ht="16.5">
      <c r="A1892" s="5" t="s">
        <v>7633</v>
      </c>
      <c r="B1892" s="10" t="s">
        <v>7634</v>
      </c>
      <c r="C1892" s="5" t="s">
        <v>1861</v>
      </c>
      <c r="D1892" s="5" t="s">
        <v>2236</v>
      </c>
      <c r="E1892" s="5" t="s">
        <v>4643</v>
      </c>
      <c r="F1892" s="5">
        <v>230</v>
      </c>
      <c r="G1892" s="5">
        <v>1380</v>
      </c>
    </row>
    <row r="1893" spans="1:7" ht="16.5">
      <c r="A1893" s="5" t="s">
        <v>7635</v>
      </c>
      <c r="B1893" s="10" t="s">
        <v>7636</v>
      </c>
      <c r="C1893" s="5" t="s">
        <v>1862</v>
      </c>
      <c r="D1893" s="5" t="s">
        <v>7637</v>
      </c>
      <c r="E1893" s="5" t="s">
        <v>3279</v>
      </c>
      <c r="F1893" s="5">
        <v>18</v>
      </c>
      <c r="G1893" s="5">
        <v>108</v>
      </c>
    </row>
    <row r="1894" spans="1:7" ht="16.5">
      <c r="A1894" s="5" t="s">
        <v>7638</v>
      </c>
      <c r="B1894" s="10" t="s">
        <v>7639</v>
      </c>
      <c r="C1894" s="5" t="s">
        <v>1863</v>
      </c>
      <c r="D1894" s="5" t="s">
        <v>7640</v>
      </c>
      <c r="E1894" s="5" t="s">
        <v>3279</v>
      </c>
      <c r="F1894" s="5">
        <v>32</v>
      </c>
      <c r="G1894" s="5">
        <v>192</v>
      </c>
    </row>
    <row r="1895" spans="1:7" ht="16.5">
      <c r="A1895" s="5" t="s">
        <v>7641</v>
      </c>
      <c r="B1895" s="10" t="s">
        <v>7642</v>
      </c>
      <c r="C1895" s="5" t="s">
        <v>1864</v>
      </c>
      <c r="D1895" s="5" t="s">
        <v>7640</v>
      </c>
      <c r="E1895" s="5" t="s">
        <v>3279</v>
      </c>
      <c r="F1895" s="5">
        <v>36</v>
      </c>
      <c r="G1895" s="5">
        <v>216</v>
      </c>
    </row>
    <row r="1896" spans="1:7" ht="16.5">
      <c r="A1896" s="5" t="s">
        <v>7643</v>
      </c>
      <c r="B1896" s="10" t="s">
        <v>7644</v>
      </c>
      <c r="C1896" s="5" t="s">
        <v>1865</v>
      </c>
      <c r="D1896" s="5" t="s">
        <v>7640</v>
      </c>
      <c r="E1896" s="5" t="s">
        <v>3279</v>
      </c>
      <c r="F1896" s="5">
        <v>30</v>
      </c>
      <c r="G1896" s="5">
        <v>180</v>
      </c>
    </row>
    <row r="1897" spans="1:7" ht="16.5">
      <c r="A1897" s="5" t="s">
        <v>7645</v>
      </c>
      <c r="B1897" s="10" t="s">
        <v>7646</v>
      </c>
      <c r="C1897" s="5" t="s">
        <v>1866</v>
      </c>
      <c r="D1897" s="5" t="s">
        <v>7640</v>
      </c>
      <c r="E1897" s="5" t="s">
        <v>3279</v>
      </c>
      <c r="F1897" s="5">
        <v>48</v>
      </c>
      <c r="G1897" s="5">
        <v>288</v>
      </c>
    </row>
    <row r="1898" spans="1:7" ht="16.5">
      <c r="A1898" s="5" t="s">
        <v>7647</v>
      </c>
      <c r="B1898" s="10" t="s">
        <v>7648</v>
      </c>
      <c r="C1898" s="5" t="s">
        <v>1867</v>
      </c>
      <c r="D1898" s="5" t="s">
        <v>6043</v>
      </c>
      <c r="E1898" s="5" t="s">
        <v>7649</v>
      </c>
      <c r="F1898" s="5">
        <v>68</v>
      </c>
      <c r="G1898" s="5">
        <v>408</v>
      </c>
    </row>
    <row r="1899" spans="1:7" ht="16.5">
      <c r="A1899" s="5" t="s">
        <v>7650</v>
      </c>
      <c r="B1899" s="10" t="s">
        <v>7651</v>
      </c>
      <c r="C1899" s="5" t="s">
        <v>1868</v>
      </c>
      <c r="D1899" s="5" t="s">
        <v>7652</v>
      </c>
      <c r="E1899" s="5" t="s">
        <v>7649</v>
      </c>
      <c r="F1899" s="5">
        <v>36</v>
      </c>
      <c r="G1899" s="5">
        <v>216</v>
      </c>
    </row>
    <row r="1900" spans="1:7" ht="16.5">
      <c r="A1900" s="5" t="s">
        <v>7653</v>
      </c>
      <c r="B1900" s="10" t="s">
        <v>7654</v>
      </c>
      <c r="C1900" s="5" t="s">
        <v>1869</v>
      </c>
      <c r="D1900" s="5" t="s">
        <v>7655</v>
      </c>
      <c r="E1900" s="5" t="s">
        <v>6635</v>
      </c>
      <c r="F1900" s="5">
        <v>36</v>
      </c>
      <c r="G1900" s="5">
        <v>216</v>
      </c>
    </row>
    <row r="1901" spans="1:7" ht="16.5">
      <c r="A1901" s="5" t="s">
        <v>7656</v>
      </c>
      <c r="B1901" s="10" t="s">
        <v>7657</v>
      </c>
      <c r="C1901" s="5" t="s">
        <v>1870</v>
      </c>
      <c r="D1901" s="5" t="s">
        <v>7658</v>
      </c>
      <c r="E1901" s="5" t="s">
        <v>6635</v>
      </c>
      <c r="F1901" s="5">
        <v>480</v>
      </c>
      <c r="G1901" s="5">
        <v>2880</v>
      </c>
    </row>
    <row r="1902" spans="1:7" ht="16.5">
      <c r="A1902" s="5" t="s">
        <v>7659</v>
      </c>
      <c r="B1902" s="10" t="s">
        <v>7660</v>
      </c>
      <c r="C1902" s="5" t="s">
        <v>1871</v>
      </c>
      <c r="D1902" s="5" t="s">
        <v>2236</v>
      </c>
      <c r="E1902" s="5" t="s">
        <v>7661</v>
      </c>
      <c r="F1902" s="5">
        <v>20</v>
      </c>
      <c r="G1902" s="5">
        <v>120</v>
      </c>
    </row>
    <row r="1903" spans="1:7" ht="16.5">
      <c r="A1903" s="5" t="s">
        <v>7662</v>
      </c>
      <c r="B1903" s="10" t="s">
        <v>7663</v>
      </c>
      <c r="C1903" s="5" t="s">
        <v>1872</v>
      </c>
      <c r="D1903" s="5" t="s">
        <v>7664</v>
      </c>
      <c r="E1903" s="5" t="s">
        <v>6647</v>
      </c>
      <c r="F1903" s="5">
        <v>35</v>
      </c>
      <c r="G1903" s="5">
        <v>210</v>
      </c>
    </row>
    <row r="1904" spans="1:7" ht="16.5">
      <c r="A1904" s="5" t="s">
        <v>7665</v>
      </c>
      <c r="B1904" s="10" t="s">
        <v>7666</v>
      </c>
      <c r="C1904" s="5" t="s">
        <v>1873</v>
      </c>
      <c r="D1904" s="5" t="s">
        <v>7667</v>
      </c>
      <c r="E1904" s="5" t="s">
        <v>6647</v>
      </c>
      <c r="F1904" s="5">
        <v>25</v>
      </c>
      <c r="G1904" s="5">
        <v>150</v>
      </c>
    </row>
    <row r="1905" spans="1:7" ht="16.5">
      <c r="A1905" s="5" t="s">
        <v>7668</v>
      </c>
      <c r="B1905" s="10" t="s">
        <v>7669</v>
      </c>
      <c r="C1905" s="5" t="s">
        <v>1874</v>
      </c>
      <c r="D1905" s="5" t="s">
        <v>6484</v>
      </c>
      <c r="E1905" s="5" t="s">
        <v>7670</v>
      </c>
      <c r="F1905" s="5">
        <v>25</v>
      </c>
      <c r="G1905" s="5">
        <v>150</v>
      </c>
    </row>
    <row r="1906" spans="1:7" ht="16.5">
      <c r="A1906" s="5" t="s">
        <v>7671</v>
      </c>
      <c r="B1906" s="10" t="s">
        <v>7672</v>
      </c>
      <c r="C1906" s="5" t="s">
        <v>1875</v>
      </c>
      <c r="D1906" s="5" t="s">
        <v>7673</v>
      </c>
      <c r="E1906" s="5" t="s">
        <v>6700</v>
      </c>
      <c r="F1906" s="5">
        <v>26</v>
      </c>
      <c r="G1906" s="5">
        <v>156</v>
      </c>
    </row>
    <row r="1907" spans="1:7" ht="16.5">
      <c r="A1907" s="5" t="s">
        <v>7674</v>
      </c>
      <c r="B1907" s="10" t="s">
        <v>7675</v>
      </c>
      <c r="C1907" s="5" t="s">
        <v>1876</v>
      </c>
      <c r="D1907" s="5" t="s">
        <v>7676</v>
      </c>
      <c r="E1907" s="5" t="s">
        <v>6700</v>
      </c>
      <c r="F1907" s="5">
        <v>23</v>
      </c>
      <c r="G1907" s="5">
        <v>138</v>
      </c>
    </row>
    <row r="1908" spans="1:7" ht="16.5">
      <c r="A1908" s="5" t="s">
        <v>7677</v>
      </c>
      <c r="B1908" s="10" t="s">
        <v>7678</v>
      </c>
      <c r="C1908" s="5" t="s">
        <v>1877</v>
      </c>
      <c r="D1908" s="5" t="s">
        <v>7679</v>
      </c>
      <c r="E1908" s="5" t="s">
        <v>7680</v>
      </c>
      <c r="F1908" s="5">
        <v>10</v>
      </c>
      <c r="G1908" s="5">
        <v>60</v>
      </c>
    </row>
    <row r="1909" spans="1:7" ht="16.5">
      <c r="A1909" s="5" t="s">
        <v>7681</v>
      </c>
      <c r="B1909" s="10" t="s">
        <v>7682</v>
      </c>
      <c r="C1909" s="5" t="s">
        <v>1878</v>
      </c>
      <c r="D1909" s="5" t="s">
        <v>7683</v>
      </c>
      <c r="E1909" s="5" t="s">
        <v>7680</v>
      </c>
      <c r="F1909" s="5">
        <v>18</v>
      </c>
      <c r="G1909" s="5">
        <v>108</v>
      </c>
    </row>
    <row r="1910" spans="1:7" ht="16.5">
      <c r="A1910" s="5" t="s">
        <v>7684</v>
      </c>
      <c r="B1910" s="10" t="s">
        <v>7685</v>
      </c>
      <c r="C1910" s="5" t="s">
        <v>1879</v>
      </c>
      <c r="D1910" s="5" t="s">
        <v>7686</v>
      </c>
      <c r="E1910" s="5" t="s">
        <v>7680</v>
      </c>
      <c r="F1910" s="5">
        <v>10</v>
      </c>
      <c r="G1910" s="5">
        <v>60</v>
      </c>
    </row>
    <row r="1911" spans="1:7" ht="16.5">
      <c r="A1911" s="5" t="s">
        <v>7687</v>
      </c>
      <c r="B1911" s="10" t="s">
        <v>7688</v>
      </c>
      <c r="C1911" s="5" t="s">
        <v>1880</v>
      </c>
      <c r="D1911" s="5" t="s">
        <v>7689</v>
      </c>
      <c r="E1911" s="5" t="s">
        <v>7680</v>
      </c>
      <c r="F1911" s="5">
        <v>10</v>
      </c>
      <c r="G1911" s="5">
        <v>60</v>
      </c>
    </row>
    <row r="1912" spans="1:7" ht="16.5">
      <c r="A1912" s="5" t="s">
        <v>7690</v>
      </c>
      <c r="B1912" s="10" t="s">
        <v>7691</v>
      </c>
      <c r="C1912" s="5" t="s">
        <v>1881</v>
      </c>
      <c r="D1912" s="5" t="s">
        <v>7692</v>
      </c>
      <c r="E1912" s="5" t="s">
        <v>7680</v>
      </c>
      <c r="F1912" s="5">
        <v>180</v>
      </c>
      <c r="G1912" s="5">
        <v>1080</v>
      </c>
    </row>
    <row r="1913" spans="1:7" ht="16.5">
      <c r="A1913" s="5" t="s">
        <v>7693</v>
      </c>
      <c r="B1913" s="10" t="s">
        <v>7694</v>
      </c>
      <c r="C1913" s="5" t="s">
        <v>1882</v>
      </c>
      <c r="D1913" s="5" t="s">
        <v>7695</v>
      </c>
      <c r="E1913" s="5" t="s">
        <v>7680</v>
      </c>
      <c r="F1913" s="5">
        <v>18</v>
      </c>
      <c r="G1913" s="5">
        <v>108</v>
      </c>
    </row>
    <row r="1914" spans="1:7" ht="16.5">
      <c r="A1914" s="5" t="s">
        <v>7696</v>
      </c>
      <c r="B1914" s="10" t="s">
        <v>7697</v>
      </c>
      <c r="C1914" s="5" t="s">
        <v>1883</v>
      </c>
      <c r="D1914" s="5" t="s">
        <v>7698</v>
      </c>
      <c r="E1914" s="5" t="s">
        <v>7680</v>
      </c>
      <c r="F1914" s="5">
        <v>15</v>
      </c>
      <c r="G1914" s="5">
        <v>90</v>
      </c>
    </row>
    <row r="1915" spans="1:7" ht="16.5">
      <c r="A1915" s="5" t="s">
        <v>7699</v>
      </c>
      <c r="B1915" s="10" t="s">
        <v>7700</v>
      </c>
      <c r="C1915" s="5" t="s">
        <v>1884</v>
      </c>
      <c r="D1915" s="5" t="s">
        <v>7701</v>
      </c>
      <c r="E1915" s="5" t="s">
        <v>2297</v>
      </c>
      <c r="F1915" s="5">
        <v>160</v>
      </c>
      <c r="G1915" s="5">
        <v>960</v>
      </c>
    </row>
    <row r="1916" spans="1:7" ht="16.5">
      <c r="A1916" s="5" t="s">
        <v>7702</v>
      </c>
      <c r="B1916" s="10" t="s">
        <v>7703</v>
      </c>
      <c r="C1916" s="5" t="s">
        <v>1885</v>
      </c>
      <c r="D1916" s="5" t="s">
        <v>7704</v>
      </c>
      <c r="E1916" s="5" t="s">
        <v>7705</v>
      </c>
      <c r="F1916" s="5">
        <v>48</v>
      </c>
      <c r="G1916" s="5">
        <v>288</v>
      </c>
    </row>
    <row r="1917" spans="1:7" ht="16.5">
      <c r="A1917" s="5" t="s">
        <v>7706</v>
      </c>
      <c r="B1917" s="10" t="s">
        <v>7707</v>
      </c>
      <c r="C1917" s="5" t="s">
        <v>1886</v>
      </c>
      <c r="D1917" s="5" t="s">
        <v>7708</v>
      </c>
      <c r="E1917" s="5" t="s">
        <v>7709</v>
      </c>
      <c r="F1917" s="5">
        <v>49</v>
      </c>
      <c r="G1917" s="5">
        <v>294</v>
      </c>
    </row>
    <row r="1918" spans="1:7" ht="16.5">
      <c r="A1918" s="5" t="s">
        <v>7710</v>
      </c>
      <c r="B1918" s="10" t="s">
        <v>7711</v>
      </c>
      <c r="C1918" s="5" t="s">
        <v>1887</v>
      </c>
      <c r="D1918" s="5" t="s">
        <v>7712</v>
      </c>
      <c r="E1918" s="5" t="s">
        <v>7709</v>
      </c>
      <c r="F1918" s="5">
        <v>49.6</v>
      </c>
      <c r="G1918" s="5">
        <v>298</v>
      </c>
    </row>
    <row r="1919" spans="1:7" ht="16.5">
      <c r="A1919" s="5" t="s">
        <v>7713</v>
      </c>
      <c r="B1919" s="10" t="s">
        <v>7714</v>
      </c>
      <c r="C1919" s="5" t="s">
        <v>1888</v>
      </c>
      <c r="D1919" s="5" t="s">
        <v>7715</v>
      </c>
      <c r="E1919" s="5" t="s">
        <v>7709</v>
      </c>
      <c r="F1919" s="5">
        <v>52</v>
      </c>
      <c r="G1919" s="5">
        <v>312</v>
      </c>
    </row>
    <row r="1920" spans="1:7" ht="16.5">
      <c r="A1920" s="5" t="s">
        <v>7716</v>
      </c>
      <c r="B1920" s="10" t="s">
        <v>7717</v>
      </c>
      <c r="C1920" s="5" t="s">
        <v>1889</v>
      </c>
      <c r="D1920" s="5" t="s">
        <v>7718</v>
      </c>
      <c r="E1920" s="5" t="s">
        <v>7709</v>
      </c>
      <c r="F1920" s="5">
        <v>59.4</v>
      </c>
      <c r="G1920" s="5">
        <v>356</v>
      </c>
    </row>
    <row r="1921" spans="1:7" ht="16.5">
      <c r="A1921" s="5" t="s">
        <v>7719</v>
      </c>
      <c r="B1921" s="10" t="s">
        <v>7720</v>
      </c>
      <c r="C1921" s="5" t="s">
        <v>1890</v>
      </c>
      <c r="D1921" s="5" t="s">
        <v>7721</v>
      </c>
      <c r="E1921" s="5" t="s">
        <v>7709</v>
      </c>
      <c r="F1921" s="5">
        <v>62</v>
      </c>
      <c r="G1921" s="5">
        <v>372</v>
      </c>
    </row>
    <row r="1922" spans="1:7" ht="16.5">
      <c r="A1922" s="5" t="s">
        <v>7722</v>
      </c>
      <c r="B1922" s="10" t="s">
        <v>7723</v>
      </c>
      <c r="C1922" s="5" t="s">
        <v>7724</v>
      </c>
      <c r="D1922" s="5" t="s">
        <v>7725</v>
      </c>
      <c r="E1922" s="5" t="s">
        <v>7709</v>
      </c>
      <c r="F1922" s="5">
        <v>52</v>
      </c>
      <c r="G1922" s="5">
        <v>312</v>
      </c>
    </row>
    <row r="1923" spans="1:7" ht="16.5">
      <c r="A1923" s="5" t="s">
        <v>7726</v>
      </c>
      <c r="B1923" s="10" t="s">
        <v>7727</v>
      </c>
      <c r="C1923" s="5" t="s">
        <v>1891</v>
      </c>
      <c r="D1923" s="5" t="s">
        <v>7728</v>
      </c>
      <c r="E1923" s="5" t="s">
        <v>7729</v>
      </c>
      <c r="F1923" s="5">
        <v>30</v>
      </c>
      <c r="G1923" s="5">
        <v>180</v>
      </c>
    </row>
    <row r="1924" spans="1:7" ht="16.5">
      <c r="A1924" s="5" t="s">
        <v>7730</v>
      </c>
      <c r="B1924" s="10" t="s">
        <v>7731</v>
      </c>
      <c r="C1924" s="5" t="s">
        <v>1892</v>
      </c>
      <c r="D1924" s="5" t="s">
        <v>7732</v>
      </c>
      <c r="E1924" s="5" t="s">
        <v>6656</v>
      </c>
      <c r="F1924" s="5">
        <v>13.8</v>
      </c>
      <c r="G1924" s="5">
        <v>83</v>
      </c>
    </row>
    <row r="1925" spans="1:7" ht="16.5">
      <c r="A1925" s="5" t="s">
        <v>7733</v>
      </c>
      <c r="B1925" s="10" t="s">
        <v>7734</v>
      </c>
      <c r="C1925" s="5" t="s">
        <v>1893</v>
      </c>
      <c r="D1925" s="5" t="s">
        <v>7732</v>
      </c>
      <c r="E1925" s="5" t="s">
        <v>6656</v>
      </c>
      <c r="F1925" s="5">
        <v>13.8</v>
      </c>
      <c r="G1925" s="5">
        <v>83</v>
      </c>
    </row>
    <row r="1926" spans="1:7" ht="16.5">
      <c r="A1926" s="5" t="s">
        <v>7735</v>
      </c>
      <c r="B1926" s="10" t="s">
        <v>7734</v>
      </c>
      <c r="C1926" s="5" t="s">
        <v>1894</v>
      </c>
      <c r="D1926" s="5" t="s">
        <v>7732</v>
      </c>
      <c r="E1926" s="5" t="s">
        <v>6656</v>
      </c>
      <c r="F1926" s="5">
        <v>13.8</v>
      </c>
      <c r="G1926" s="5">
        <v>83</v>
      </c>
    </row>
    <row r="1927" spans="1:7" ht="16.5">
      <c r="A1927" s="5" t="s">
        <v>7736</v>
      </c>
      <c r="B1927" s="10" t="s">
        <v>7734</v>
      </c>
      <c r="C1927" s="5" t="s">
        <v>1895</v>
      </c>
      <c r="D1927" s="5" t="s">
        <v>7732</v>
      </c>
      <c r="E1927" s="5" t="s">
        <v>6656</v>
      </c>
      <c r="F1927" s="5">
        <v>13.8</v>
      </c>
      <c r="G1927" s="5">
        <v>83</v>
      </c>
    </row>
    <row r="1928" spans="1:7" ht="16.5">
      <c r="A1928" s="5" t="s">
        <v>7737</v>
      </c>
      <c r="B1928" s="10" t="s">
        <v>7738</v>
      </c>
      <c r="C1928" s="5" t="s">
        <v>1896</v>
      </c>
      <c r="D1928" s="5" t="s">
        <v>7739</v>
      </c>
      <c r="E1928" s="5" t="s">
        <v>6656</v>
      </c>
      <c r="F1928" s="5">
        <v>13.8</v>
      </c>
      <c r="G1928" s="5">
        <v>83</v>
      </c>
    </row>
    <row r="1929" spans="1:7" ht="16.5">
      <c r="A1929" s="5" t="s">
        <v>7740</v>
      </c>
      <c r="B1929" s="10" t="s">
        <v>7738</v>
      </c>
      <c r="C1929" s="5" t="s">
        <v>1897</v>
      </c>
      <c r="D1929" s="5" t="s">
        <v>7739</v>
      </c>
      <c r="E1929" s="5" t="s">
        <v>6656</v>
      </c>
      <c r="F1929" s="5">
        <v>13.8</v>
      </c>
      <c r="G1929" s="5">
        <v>83</v>
      </c>
    </row>
    <row r="1930" spans="1:7" ht="16.5">
      <c r="A1930" s="5" t="s">
        <v>7741</v>
      </c>
      <c r="B1930" s="10" t="s">
        <v>7738</v>
      </c>
      <c r="C1930" s="5" t="s">
        <v>1898</v>
      </c>
      <c r="D1930" s="5" t="s">
        <v>7739</v>
      </c>
      <c r="E1930" s="5" t="s">
        <v>6656</v>
      </c>
      <c r="F1930" s="5">
        <v>13.8</v>
      </c>
      <c r="G1930" s="5">
        <v>83</v>
      </c>
    </row>
    <row r="1931" spans="1:7" ht="16.5">
      <c r="A1931" s="5" t="s">
        <v>7742</v>
      </c>
      <c r="B1931" s="10" t="s">
        <v>7743</v>
      </c>
      <c r="C1931" s="5" t="s">
        <v>1899</v>
      </c>
      <c r="D1931" s="5" t="s">
        <v>7739</v>
      </c>
      <c r="E1931" s="5" t="s">
        <v>6656</v>
      </c>
      <c r="F1931" s="5">
        <v>13.8</v>
      </c>
      <c r="G1931" s="5">
        <v>83</v>
      </c>
    </row>
    <row r="1932" spans="1:7" ht="16.5">
      <c r="A1932" s="5" t="s">
        <v>7744</v>
      </c>
      <c r="B1932" s="10" t="s">
        <v>7743</v>
      </c>
      <c r="C1932" s="5" t="s">
        <v>1900</v>
      </c>
      <c r="D1932" s="5" t="s">
        <v>7739</v>
      </c>
      <c r="E1932" s="5" t="s">
        <v>6656</v>
      </c>
      <c r="F1932" s="5">
        <v>13.8</v>
      </c>
      <c r="G1932" s="5">
        <v>83</v>
      </c>
    </row>
    <row r="1933" spans="1:7" ht="16.5">
      <c r="A1933" s="5" t="s">
        <v>7745</v>
      </c>
      <c r="B1933" s="10" t="s">
        <v>7743</v>
      </c>
      <c r="C1933" s="5" t="s">
        <v>1901</v>
      </c>
      <c r="D1933" s="5" t="s">
        <v>7739</v>
      </c>
      <c r="E1933" s="5" t="s">
        <v>6656</v>
      </c>
      <c r="F1933" s="5">
        <v>13.8</v>
      </c>
      <c r="G1933" s="5">
        <v>83</v>
      </c>
    </row>
    <row r="1934" spans="1:7" ht="16.5">
      <c r="A1934" s="5" t="s">
        <v>7746</v>
      </c>
      <c r="B1934" s="10" t="s">
        <v>7747</v>
      </c>
      <c r="C1934" s="5" t="s">
        <v>1902</v>
      </c>
      <c r="D1934" s="5" t="s">
        <v>3297</v>
      </c>
      <c r="E1934" s="5" t="s">
        <v>5775</v>
      </c>
      <c r="F1934" s="5">
        <v>118</v>
      </c>
      <c r="G1934" s="5">
        <v>708</v>
      </c>
    </row>
    <row r="1935" spans="1:7" ht="16.5">
      <c r="A1935" s="5" t="s">
        <v>7748</v>
      </c>
      <c r="B1935" s="10" t="s">
        <v>7749</v>
      </c>
      <c r="C1935" s="5" t="s">
        <v>1903</v>
      </c>
      <c r="D1935" s="5" t="s">
        <v>2337</v>
      </c>
      <c r="E1935" s="5" t="s">
        <v>7750</v>
      </c>
      <c r="F1935" s="5">
        <v>18</v>
      </c>
      <c r="G1935" s="5">
        <v>108</v>
      </c>
    </row>
    <row r="1936" spans="1:7" ht="16.5">
      <c r="A1936" s="5" t="s">
        <v>7751</v>
      </c>
      <c r="B1936" s="10" t="s">
        <v>7752</v>
      </c>
      <c r="C1936" s="5" t="s">
        <v>1904</v>
      </c>
      <c r="D1936" s="5" t="s">
        <v>7753</v>
      </c>
      <c r="E1936" s="5" t="s">
        <v>7750</v>
      </c>
      <c r="F1936" s="5">
        <v>10</v>
      </c>
      <c r="G1936" s="5">
        <v>60</v>
      </c>
    </row>
    <row r="1937" spans="1:7" ht="16.5">
      <c r="A1937" s="5" t="s">
        <v>7754</v>
      </c>
      <c r="B1937" s="10" t="s">
        <v>7755</v>
      </c>
      <c r="C1937" s="5" t="s">
        <v>1905</v>
      </c>
      <c r="D1937" s="5" t="s">
        <v>7756</v>
      </c>
      <c r="E1937" s="5" t="s">
        <v>7750</v>
      </c>
      <c r="F1937" s="5">
        <v>10</v>
      </c>
      <c r="G1937" s="5">
        <v>60</v>
      </c>
    </row>
    <row r="1938" spans="1:7" ht="16.5">
      <c r="A1938" s="5" t="s">
        <v>7757</v>
      </c>
      <c r="B1938" s="10" t="s">
        <v>7758</v>
      </c>
      <c r="C1938" s="5" t="s">
        <v>1906</v>
      </c>
      <c r="D1938" s="5" t="s">
        <v>7759</v>
      </c>
      <c r="E1938" s="5" t="s">
        <v>7750</v>
      </c>
      <c r="F1938" s="5">
        <v>36</v>
      </c>
      <c r="G1938" s="5">
        <v>216</v>
      </c>
    </row>
    <row r="1939" spans="1:7" ht="16.5">
      <c r="A1939" s="5" t="s">
        <v>7760</v>
      </c>
      <c r="B1939" s="10" t="s">
        <v>7761</v>
      </c>
      <c r="C1939" s="5" t="s">
        <v>1907</v>
      </c>
      <c r="D1939" s="5" t="s">
        <v>7762</v>
      </c>
      <c r="E1939" s="5" t="s">
        <v>7750</v>
      </c>
      <c r="F1939" s="5">
        <v>60</v>
      </c>
      <c r="G1939" s="5">
        <v>360</v>
      </c>
    </row>
    <row r="1940" spans="1:7" ht="16.5">
      <c r="A1940" s="5" t="s">
        <v>7763</v>
      </c>
      <c r="B1940" s="10" t="s">
        <v>7764</v>
      </c>
      <c r="C1940" s="5" t="s">
        <v>1908</v>
      </c>
      <c r="D1940" s="5" t="s">
        <v>7765</v>
      </c>
      <c r="E1940" s="5" t="s">
        <v>7750</v>
      </c>
      <c r="F1940" s="5">
        <v>25</v>
      </c>
      <c r="G1940" s="5">
        <v>150</v>
      </c>
    </row>
    <row r="1941" spans="1:7" ht="16.5">
      <c r="A1941" s="5" t="s">
        <v>7766</v>
      </c>
      <c r="B1941" s="10" t="s">
        <v>7767</v>
      </c>
      <c r="C1941" s="5" t="s">
        <v>1909</v>
      </c>
      <c r="D1941" s="5" t="s">
        <v>7768</v>
      </c>
      <c r="E1941" s="5" t="s">
        <v>7750</v>
      </c>
      <c r="F1941" s="5">
        <v>42</v>
      </c>
      <c r="G1941" s="5">
        <v>252</v>
      </c>
    </row>
    <row r="1942" spans="1:7" ht="16.5">
      <c r="A1942" s="5" t="s">
        <v>7769</v>
      </c>
      <c r="B1942" s="10" t="s">
        <v>7770</v>
      </c>
      <c r="C1942" s="5" t="s">
        <v>1910</v>
      </c>
      <c r="D1942" s="5" t="s">
        <v>7771</v>
      </c>
      <c r="E1942" s="5" t="s">
        <v>7750</v>
      </c>
      <c r="F1942" s="5">
        <v>25</v>
      </c>
      <c r="G1942" s="5">
        <v>150</v>
      </c>
    </row>
    <row r="1943" spans="1:7" ht="16.5">
      <c r="A1943" s="5" t="s">
        <v>7772</v>
      </c>
      <c r="B1943" s="10" t="s">
        <v>7773</v>
      </c>
      <c r="C1943" s="5" t="s">
        <v>1911</v>
      </c>
      <c r="D1943" s="5" t="s">
        <v>7774</v>
      </c>
      <c r="E1943" s="5" t="s">
        <v>7750</v>
      </c>
      <c r="F1943" s="5">
        <v>22</v>
      </c>
      <c r="G1943" s="5">
        <v>132</v>
      </c>
    </row>
    <row r="1944" spans="1:7" ht="16.5">
      <c r="A1944" s="5" t="s">
        <v>7775</v>
      </c>
      <c r="B1944" s="10" t="s">
        <v>7776</v>
      </c>
      <c r="C1944" s="5" t="s">
        <v>1912</v>
      </c>
      <c r="D1944" s="5" t="s">
        <v>7777</v>
      </c>
      <c r="E1944" s="5" t="s">
        <v>7750</v>
      </c>
      <c r="F1944" s="5">
        <v>18</v>
      </c>
      <c r="G1944" s="5">
        <v>108</v>
      </c>
    </row>
    <row r="1945" spans="1:7" ht="16.5">
      <c r="A1945" s="5" t="s">
        <v>7778</v>
      </c>
      <c r="B1945" s="10" t="s">
        <v>7779</v>
      </c>
      <c r="C1945" s="5" t="s">
        <v>1913</v>
      </c>
      <c r="D1945" s="5" t="s">
        <v>7780</v>
      </c>
      <c r="E1945" s="5" t="s">
        <v>4643</v>
      </c>
      <c r="F1945" s="5">
        <v>350</v>
      </c>
      <c r="G1945" s="5">
        <v>2100</v>
      </c>
    </row>
    <row r="1946" spans="1:7" ht="16.5">
      <c r="A1946" s="5" t="s">
        <v>7781</v>
      </c>
      <c r="B1946" s="10" t="s">
        <v>7782</v>
      </c>
      <c r="C1946" s="5" t="s">
        <v>1914</v>
      </c>
      <c r="D1946" s="5" t="s">
        <v>7783</v>
      </c>
      <c r="E1946" s="5" t="s">
        <v>4643</v>
      </c>
      <c r="F1946" s="5">
        <v>32</v>
      </c>
      <c r="G1946" s="5">
        <v>192</v>
      </c>
    </row>
    <row r="1947" spans="1:7" ht="16.5">
      <c r="A1947" s="5" t="s">
        <v>7784</v>
      </c>
      <c r="B1947" s="10" t="s">
        <v>7785</v>
      </c>
      <c r="C1947" s="5" t="s">
        <v>1915</v>
      </c>
      <c r="D1947" s="5" t="s">
        <v>7786</v>
      </c>
      <c r="E1947" s="5" t="s">
        <v>4643</v>
      </c>
      <c r="F1947" s="5">
        <v>48</v>
      </c>
      <c r="G1947" s="5">
        <v>288</v>
      </c>
    </row>
    <row r="1948" spans="1:7" ht="16.5">
      <c r="A1948" s="5" t="s">
        <v>7787</v>
      </c>
      <c r="B1948" s="10" t="s">
        <v>7788</v>
      </c>
      <c r="C1948" s="5" t="s">
        <v>1916</v>
      </c>
      <c r="D1948" s="5" t="s">
        <v>4230</v>
      </c>
      <c r="E1948" s="5" t="s">
        <v>4643</v>
      </c>
      <c r="F1948" s="5">
        <v>36</v>
      </c>
      <c r="G1948" s="5">
        <v>216</v>
      </c>
    </row>
    <row r="1949" spans="1:7" ht="16.5">
      <c r="A1949" s="5" t="s">
        <v>7789</v>
      </c>
      <c r="B1949" s="10" t="s">
        <v>7790</v>
      </c>
      <c r="C1949" s="5" t="s">
        <v>1917</v>
      </c>
      <c r="D1949" s="5" t="s">
        <v>7791</v>
      </c>
      <c r="E1949" s="5" t="s">
        <v>4643</v>
      </c>
      <c r="F1949" s="5">
        <v>22</v>
      </c>
      <c r="G1949" s="5">
        <v>132</v>
      </c>
    </row>
    <row r="1950" spans="1:7" ht="16.5">
      <c r="A1950" s="5" t="s">
        <v>7792</v>
      </c>
      <c r="B1950" s="10" t="s">
        <v>7793</v>
      </c>
      <c r="C1950" s="5" t="s">
        <v>1918</v>
      </c>
      <c r="D1950" s="5" t="s">
        <v>7794</v>
      </c>
      <c r="E1950" s="5" t="s">
        <v>4643</v>
      </c>
      <c r="F1950" s="5">
        <v>24</v>
      </c>
      <c r="G1950" s="5">
        <v>144</v>
      </c>
    </row>
    <row r="1951" spans="1:7" ht="16.5">
      <c r="A1951" s="5" t="s">
        <v>7795</v>
      </c>
      <c r="B1951" s="10" t="s">
        <v>7796</v>
      </c>
      <c r="C1951" s="5" t="s">
        <v>1919</v>
      </c>
      <c r="D1951" s="5" t="s">
        <v>4230</v>
      </c>
      <c r="E1951" s="5" t="s">
        <v>4643</v>
      </c>
      <c r="F1951" s="5">
        <v>485</v>
      </c>
      <c r="G1951" s="5">
        <v>2910</v>
      </c>
    </row>
    <row r="1952" spans="1:7" ht="16.5">
      <c r="A1952" s="5" t="s">
        <v>7797</v>
      </c>
      <c r="B1952" s="10" t="s">
        <v>7798</v>
      </c>
      <c r="C1952" s="5" t="s">
        <v>1920</v>
      </c>
      <c r="D1952" s="5" t="s">
        <v>7799</v>
      </c>
      <c r="E1952" s="5" t="s">
        <v>4643</v>
      </c>
      <c r="F1952" s="5">
        <v>28.8</v>
      </c>
      <c r="G1952" s="5">
        <v>173</v>
      </c>
    </row>
    <row r="1953" spans="1:7" ht="16.5">
      <c r="A1953" s="5" t="s">
        <v>7800</v>
      </c>
      <c r="B1953" s="10" t="s">
        <v>7801</v>
      </c>
      <c r="C1953" s="5" t="s">
        <v>1921</v>
      </c>
      <c r="D1953" s="5" t="s">
        <v>7802</v>
      </c>
      <c r="E1953" s="5" t="s">
        <v>7803</v>
      </c>
      <c r="F1953" s="5">
        <v>82</v>
      </c>
      <c r="G1953" s="5">
        <v>492</v>
      </c>
    </row>
    <row r="1954" spans="1:7" ht="16.5">
      <c r="A1954" s="5" t="s">
        <v>7804</v>
      </c>
      <c r="B1954" s="10" t="s">
        <v>7805</v>
      </c>
      <c r="C1954" s="5" t="s">
        <v>1922</v>
      </c>
      <c r="D1954" s="5" t="s">
        <v>7802</v>
      </c>
      <c r="E1954" s="5" t="s">
        <v>7803</v>
      </c>
      <c r="F1954" s="5">
        <v>480</v>
      </c>
      <c r="G1954" s="5">
        <v>2880</v>
      </c>
    </row>
    <row r="1955" spans="1:7" ht="16.5">
      <c r="A1955" s="5" t="s">
        <v>7806</v>
      </c>
      <c r="B1955" s="10" t="s">
        <v>7807</v>
      </c>
      <c r="C1955" s="5" t="s">
        <v>1923</v>
      </c>
      <c r="D1955" s="5" t="s">
        <v>7808</v>
      </c>
      <c r="E1955" s="5" t="s">
        <v>7803</v>
      </c>
      <c r="F1955" s="5">
        <v>15</v>
      </c>
      <c r="G1955" s="5">
        <v>90</v>
      </c>
    </row>
    <row r="1956" spans="1:7" ht="16.5">
      <c r="A1956" s="5" t="s">
        <v>7809</v>
      </c>
      <c r="B1956" s="10" t="s">
        <v>7810</v>
      </c>
      <c r="C1956" s="5" t="s">
        <v>7811</v>
      </c>
      <c r="D1956" s="5" t="s">
        <v>7812</v>
      </c>
      <c r="E1956" s="5" t="s">
        <v>7803</v>
      </c>
      <c r="F1956" s="5">
        <v>13.5</v>
      </c>
      <c r="G1956" s="5">
        <v>81</v>
      </c>
    </row>
    <row r="1957" spans="1:7" ht="16.5">
      <c r="A1957" s="5" t="s">
        <v>7813</v>
      </c>
      <c r="B1957" s="10" t="s">
        <v>7814</v>
      </c>
      <c r="C1957" s="5" t="s">
        <v>1924</v>
      </c>
      <c r="D1957" s="5" t="s">
        <v>7815</v>
      </c>
      <c r="E1957" s="5" t="s">
        <v>7803</v>
      </c>
      <c r="F1957" s="5">
        <v>13.5</v>
      </c>
      <c r="G1957" s="5">
        <v>81</v>
      </c>
    </row>
    <row r="1958" spans="1:7" ht="16.5">
      <c r="A1958" s="5" t="s">
        <v>7816</v>
      </c>
      <c r="B1958" s="10" t="s">
        <v>7817</v>
      </c>
      <c r="C1958" s="5" t="s">
        <v>1925</v>
      </c>
      <c r="D1958" s="5" t="s">
        <v>7818</v>
      </c>
      <c r="E1958" s="5" t="s">
        <v>7803</v>
      </c>
      <c r="F1958" s="5">
        <v>38</v>
      </c>
      <c r="G1958" s="5">
        <v>228</v>
      </c>
    </row>
    <row r="1959" spans="1:7" ht="16.5">
      <c r="A1959" s="5" t="s">
        <v>7819</v>
      </c>
      <c r="B1959" s="10" t="s">
        <v>7820</v>
      </c>
      <c r="C1959" s="5" t="s">
        <v>1926</v>
      </c>
      <c r="D1959" s="5" t="s">
        <v>7821</v>
      </c>
      <c r="E1959" s="5" t="s">
        <v>7803</v>
      </c>
      <c r="F1959" s="5">
        <v>180</v>
      </c>
      <c r="G1959" s="5">
        <v>1080</v>
      </c>
    </row>
    <row r="1960" spans="1:7" ht="16.5">
      <c r="A1960" s="5" t="s">
        <v>7822</v>
      </c>
      <c r="B1960" s="10" t="s">
        <v>7823</v>
      </c>
      <c r="C1960" s="5" t="s">
        <v>1927</v>
      </c>
      <c r="D1960" s="5" t="s">
        <v>7824</v>
      </c>
      <c r="E1960" s="5" t="s">
        <v>7803</v>
      </c>
      <c r="F1960" s="5">
        <v>160</v>
      </c>
      <c r="G1960" s="5">
        <v>960</v>
      </c>
    </row>
    <row r="1961" spans="1:7" ht="16.5">
      <c r="A1961" s="5" t="s">
        <v>7825</v>
      </c>
      <c r="B1961" s="10" t="s">
        <v>7826</v>
      </c>
      <c r="C1961" s="5" t="s">
        <v>1928</v>
      </c>
      <c r="D1961" s="5" t="s">
        <v>7827</v>
      </c>
      <c r="E1961" s="5" t="s">
        <v>7803</v>
      </c>
      <c r="F1961" s="5">
        <v>15</v>
      </c>
      <c r="G1961" s="5">
        <v>90</v>
      </c>
    </row>
    <row r="1962" spans="1:7" ht="16.5">
      <c r="A1962" s="5" t="s">
        <v>7828</v>
      </c>
      <c r="B1962" s="10" t="s">
        <v>7829</v>
      </c>
      <c r="C1962" s="5" t="s">
        <v>1929</v>
      </c>
      <c r="D1962" s="5" t="s">
        <v>7830</v>
      </c>
      <c r="E1962" s="5" t="s">
        <v>7803</v>
      </c>
      <c r="F1962" s="5">
        <v>15</v>
      </c>
      <c r="G1962" s="5">
        <v>90</v>
      </c>
    </row>
    <row r="1963" spans="1:7" ht="16.5">
      <c r="A1963" s="5" t="s">
        <v>7831</v>
      </c>
      <c r="B1963" s="10" t="s">
        <v>7832</v>
      </c>
      <c r="C1963" s="5" t="s">
        <v>1930</v>
      </c>
      <c r="D1963" s="5" t="s">
        <v>7833</v>
      </c>
      <c r="E1963" s="5" t="s">
        <v>7803</v>
      </c>
      <c r="F1963" s="5">
        <v>150</v>
      </c>
      <c r="G1963" s="5">
        <v>900</v>
      </c>
    </row>
    <row r="1964" spans="1:7" ht="16.5">
      <c r="A1964" s="5" t="s">
        <v>7834</v>
      </c>
      <c r="B1964" s="10" t="s">
        <v>7835</v>
      </c>
      <c r="C1964" s="5" t="s">
        <v>1931</v>
      </c>
      <c r="D1964" s="5" t="s">
        <v>7836</v>
      </c>
      <c r="E1964" s="5" t="s">
        <v>7803</v>
      </c>
      <c r="F1964" s="5">
        <v>23</v>
      </c>
      <c r="G1964" s="5">
        <v>138</v>
      </c>
    </row>
    <row r="1965" spans="1:7" ht="16.5">
      <c r="A1965" s="5" t="s">
        <v>7837</v>
      </c>
      <c r="B1965" s="10" t="s">
        <v>7838</v>
      </c>
      <c r="C1965" s="5" t="s">
        <v>1932</v>
      </c>
      <c r="D1965" s="5" t="s">
        <v>7839</v>
      </c>
      <c r="E1965" s="5" t="s">
        <v>7803</v>
      </c>
      <c r="F1965" s="5">
        <v>600</v>
      </c>
      <c r="G1965" s="5">
        <v>3600</v>
      </c>
    </row>
    <row r="1966" spans="1:7" ht="16.5">
      <c r="A1966" s="5" t="s">
        <v>7840</v>
      </c>
      <c r="B1966" s="10" t="s">
        <v>7841</v>
      </c>
      <c r="C1966" s="5" t="s">
        <v>1933</v>
      </c>
      <c r="D1966" s="5" t="s">
        <v>7842</v>
      </c>
      <c r="E1966" s="5" t="s">
        <v>7803</v>
      </c>
      <c r="F1966" s="5">
        <v>18</v>
      </c>
      <c r="G1966" s="5">
        <v>108</v>
      </c>
    </row>
    <row r="1967" spans="1:7" ht="16.5">
      <c r="A1967" s="5" t="s">
        <v>7843</v>
      </c>
      <c r="B1967" s="10" t="s">
        <v>7844</v>
      </c>
      <c r="C1967" s="5" t="s">
        <v>1934</v>
      </c>
      <c r="D1967" s="5" t="s">
        <v>7845</v>
      </c>
      <c r="E1967" s="5" t="s">
        <v>7803</v>
      </c>
      <c r="F1967" s="5">
        <v>18</v>
      </c>
      <c r="G1967" s="5">
        <v>108</v>
      </c>
    </row>
    <row r="1968" spans="1:7" ht="16.5">
      <c r="A1968" s="5" t="s">
        <v>7846</v>
      </c>
      <c r="B1968" s="10" t="s">
        <v>7847</v>
      </c>
      <c r="C1968" s="5" t="s">
        <v>1935</v>
      </c>
      <c r="D1968" s="5" t="s">
        <v>2899</v>
      </c>
      <c r="E1968" s="5" t="s">
        <v>7848</v>
      </c>
      <c r="F1968" s="5">
        <v>30</v>
      </c>
      <c r="G1968" s="5">
        <v>180</v>
      </c>
    </row>
    <row r="1969" spans="1:7" ht="16.5">
      <c r="A1969" s="5" t="s">
        <v>7849</v>
      </c>
      <c r="B1969" s="10" t="s">
        <v>7850</v>
      </c>
      <c r="C1969" s="5" t="s">
        <v>1936</v>
      </c>
      <c r="D1969" s="5" t="s">
        <v>3042</v>
      </c>
      <c r="E1969" s="5" t="s">
        <v>7851</v>
      </c>
      <c r="F1969" s="5">
        <v>23</v>
      </c>
      <c r="G1969" s="5">
        <v>138</v>
      </c>
    </row>
    <row r="1970" spans="1:7" ht="16.5">
      <c r="A1970" s="5" t="s">
        <v>7852</v>
      </c>
      <c r="B1970" s="10" t="s">
        <v>7853</v>
      </c>
      <c r="C1970" s="5" t="s">
        <v>1937</v>
      </c>
      <c r="D1970" s="5" t="s">
        <v>7854</v>
      </c>
      <c r="E1970" s="5" t="s">
        <v>7851</v>
      </c>
      <c r="F1970" s="5">
        <v>24.8</v>
      </c>
      <c r="G1970" s="5">
        <v>149</v>
      </c>
    </row>
    <row r="1971" spans="1:7" ht="16.5">
      <c r="A1971" s="5" t="s">
        <v>7855</v>
      </c>
      <c r="B1971" s="10" t="s">
        <v>7856</v>
      </c>
      <c r="C1971" s="5" t="s">
        <v>1938</v>
      </c>
      <c r="D1971" s="5" t="s">
        <v>7857</v>
      </c>
      <c r="E1971" s="5" t="s">
        <v>7851</v>
      </c>
      <c r="F1971" s="5">
        <v>24.8</v>
      </c>
      <c r="G1971" s="5">
        <v>149</v>
      </c>
    </row>
    <row r="1972" spans="1:7" ht="16.5">
      <c r="A1972" s="5" t="s">
        <v>7858</v>
      </c>
      <c r="B1972" s="10" t="s">
        <v>7859</v>
      </c>
      <c r="C1972" s="5" t="s">
        <v>1939</v>
      </c>
      <c r="D1972" s="5" t="s">
        <v>7860</v>
      </c>
      <c r="E1972" s="5" t="s">
        <v>7851</v>
      </c>
      <c r="F1972" s="5">
        <v>24.8</v>
      </c>
      <c r="G1972" s="5">
        <v>149</v>
      </c>
    </row>
    <row r="1973" spans="1:7" ht="16.5">
      <c r="A1973" s="5" t="s">
        <v>7861</v>
      </c>
      <c r="B1973" s="10" t="s">
        <v>7862</v>
      </c>
      <c r="C1973" s="5" t="s">
        <v>1940</v>
      </c>
      <c r="D1973" s="5" t="s">
        <v>7863</v>
      </c>
      <c r="E1973" s="5" t="s">
        <v>2236</v>
      </c>
      <c r="F1973" s="5">
        <v>33</v>
      </c>
      <c r="G1973" s="5">
        <v>198</v>
      </c>
    </row>
    <row r="1974" spans="1:7" ht="16.5">
      <c r="A1974" s="5" t="s">
        <v>7864</v>
      </c>
      <c r="B1974" s="10" t="s">
        <v>7865</v>
      </c>
      <c r="C1974" s="5" t="s">
        <v>1941</v>
      </c>
      <c r="D1974" s="5" t="s">
        <v>7866</v>
      </c>
      <c r="E1974" s="5" t="s">
        <v>2236</v>
      </c>
      <c r="F1974" s="5">
        <v>190</v>
      </c>
      <c r="G1974" s="5">
        <v>1140</v>
      </c>
    </row>
    <row r="1975" spans="1:7" ht="16.5">
      <c r="A1975" s="5" t="s">
        <v>7867</v>
      </c>
      <c r="B1975" s="10" t="s">
        <v>7868</v>
      </c>
      <c r="C1975" s="5" t="s">
        <v>1942</v>
      </c>
      <c r="D1975" s="5" t="s">
        <v>7869</v>
      </c>
      <c r="E1975" s="5" t="s">
        <v>7870</v>
      </c>
      <c r="F1975" s="5">
        <v>38</v>
      </c>
      <c r="G1975" s="5">
        <v>228</v>
      </c>
    </row>
    <row r="1976" spans="1:7" ht="16.5">
      <c r="A1976" s="5" t="s">
        <v>7871</v>
      </c>
      <c r="B1976" s="10" t="s">
        <v>7872</v>
      </c>
      <c r="C1976" s="5" t="s">
        <v>1943</v>
      </c>
      <c r="D1976" s="5" t="s">
        <v>7873</v>
      </c>
      <c r="E1976" s="5" t="s">
        <v>7874</v>
      </c>
      <c r="F1976" s="5">
        <v>25</v>
      </c>
      <c r="G1976" s="5">
        <v>150</v>
      </c>
    </row>
    <row r="1977" spans="1:7" ht="16.5">
      <c r="A1977" s="5" t="s">
        <v>7875</v>
      </c>
      <c r="B1977" s="10" t="s">
        <v>7876</v>
      </c>
      <c r="C1977" s="5" t="s">
        <v>1944</v>
      </c>
      <c r="D1977" s="5" t="s">
        <v>7877</v>
      </c>
      <c r="E1977" s="5" t="s">
        <v>6516</v>
      </c>
      <c r="F1977" s="5">
        <v>25</v>
      </c>
      <c r="G1977" s="5">
        <v>150</v>
      </c>
    </row>
    <row r="1978" spans="1:7" ht="16.5">
      <c r="A1978" s="5" t="s">
        <v>7878</v>
      </c>
      <c r="B1978" s="10" t="s">
        <v>7879</v>
      </c>
      <c r="C1978" s="5" t="s">
        <v>1945</v>
      </c>
      <c r="D1978" s="5" t="s">
        <v>7880</v>
      </c>
      <c r="E1978" s="5" t="s">
        <v>6516</v>
      </c>
      <c r="F1978" s="5">
        <v>26</v>
      </c>
      <c r="G1978" s="5">
        <v>156</v>
      </c>
    </row>
    <row r="1979" spans="1:7" ht="16.5">
      <c r="A1979" s="5" t="s">
        <v>7881</v>
      </c>
      <c r="B1979" s="10" t="s">
        <v>7882</v>
      </c>
      <c r="C1979" s="5" t="s">
        <v>1946</v>
      </c>
      <c r="D1979" s="5" t="s">
        <v>7883</v>
      </c>
      <c r="E1979" s="5" t="s">
        <v>6516</v>
      </c>
      <c r="F1979" s="5">
        <v>36</v>
      </c>
      <c r="G1979" s="5">
        <v>216</v>
      </c>
    </row>
    <row r="1980" spans="1:7" ht="16.5">
      <c r="A1980" s="5" t="s">
        <v>7884</v>
      </c>
      <c r="B1980" s="10" t="s">
        <v>7885</v>
      </c>
      <c r="C1980" s="5" t="s">
        <v>1947</v>
      </c>
      <c r="D1980" s="5" t="s">
        <v>7883</v>
      </c>
      <c r="E1980" s="5" t="s">
        <v>6516</v>
      </c>
      <c r="F1980" s="5">
        <v>45</v>
      </c>
      <c r="G1980" s="5">
        <v>270</v>
      </c>
    </row>
    <row r="1981" spans="1:7" ht="16.5">
      <c r="A1981" s="5" t="s">
        <v>7886</v>
      </c>
      <c r="B1981" s="10" t="s">
        <v>7887</v>
      </c>
      <c r="C1981" s="5" t="s">
        <v>1948</v>
      </c>
      <c r="D1981" s="5" t="s">
        <v>7888</v>
      </c>
      <c r="E1981" s="5" t="s">
        <v>6516</v>
      </c>
      <c r="F1981" s="5">
        <v>22</v>
      </c>
      <c r="G1981" s="5">
        <v>132</v>
      </c>
    </row>
    <row r="1982" spans="1:7" ht="16.5">
      <c r="A1982" s="5" t="s">
        <v>7889</v>
      </c>
      <c r="B1982" s="10" t="s">
        <v>7890</v>
      </c>
      <c r="C1982" s="5" t="s">
        <v>1949</v>
      </c>
      <c r="D1982" s="5" t="s">
        <v>7891</v>
      </c>
      <c r="E1982" s="5" t="s">
        <v>7892</v>
      </c>
      <c r="F1982" s="5">
        <v>13</v>
      </c>
      <c r="G1982" s="5">
        <v>78</v>
      </c>
    </row>
    <row r="1983" spans="1:7" ht="16.5">
      <c r="A1983" s="5" t="s">
        <v>7893</v>
      </c>
      <c r="B1983" s="10" t="s">
        <v>7894</v>
      </c>
      <c r="C1983" s="5" t="s">
        <v>1950</v>
      </c>
      <c r="D1983" s="5" t="s">
        <v>7895</v>
      </c>
      <c r="E1983" s="5" t="s">
        <v>7892</v>
      </c>
      <c r="F1983" s="5">
        <v>16.8</v>
      </c>
      <c r="G1983" s="5">
        <v>101</v>
      </c>
    </row>
    <row r="1984" spans="1:7" ht="16.5">
      <c r="A1984" s="5" t="s">
        <v>7896</v>
      </c>
      <c r="B1984" s="10" t="s">
        <v>7897</v>
      </c>
      <c r="C1984" s="5" t="s">
        <v>1951</v>
      </c>
      <c r="D1984" s="5" t="s">
        <v>7891</v>
      </c>
      <c r="E1984" s="5" t="s">
        <v>7892</v>
      </c>
      <c r="F1984" s="5">
        <v>13</v>
      </c>
      <c r="G1984" s="5">
        <v>78</v>
      </c>
    </row>
    <row r="1985" spans="1:7" ht="16.5">
      <c r="A1985" s="5" t="s">
        <v>7898</v>
      </c>
      <c r="B1985" s="10" t="s">
        <v>7899</v>
      </c>
      <c r="C1985" s="5" t="s">
        <v>1952</v>
      </c>
      <c r="D1985" s="5" t="s">
        <v>7895</v>
      </c>
      <c r="E1985" s="5" t="s">
        <v>7892</v>
      </c>
      <c r="F1985" s="5">
        <v>16.8</v>
      </c>
      <c r="G1985" s="5">
        <v>101</v>
      </c>
    </row>
    <row r="1986" spans="1:7" ht="16.5">
      <c r="A1986" s="5" t="s">
        <v>7900</v>
      </c>
      <c r="B1986" s="10" t="s">
        <v>7901</v>
      </c>
      <c r="C1986" s="5" t="s">
        <v>1953</v>
      </c>
      <c r="D1986" s="5" t="s">
        <v>7902</v>
      </c>
      <c r="E1986" s="5" t="s">
        <v>7892</v>
      </c>
      <c r="F1986" s="5">
        <v>12.8</v>
      </c>
      <c r="G1986" s="5">
        <v>77</v>
      </c>
    </row>
    <row r="1987" spans="1:7" ht="16.5">
      <c r="A1987" s="5" t="s">
        <v>7903</v>
      </c>
      <c r="B1987" s="10" t="s">
        <v>7904</v>
      </c>
      <c r="C1987" s="5" t="s">
        <v>1954</v>
      </c>
      <c r="D1987" s="5" t="s">
        <v>7902</v>
      </c>
      <c r="E1987" s="5" t="s">
        <v>7892</v>
      </c>
      <c r="F1987" s="5">
        <v>12.8</v>
      </c>
      <c r="G1987" s="5">
        <v>77</v>
      </c>
    </row>
    <row r="1988" spans="1:7" ht="16.5">
      <c r="A1988" s="5" t="s">
        <v>7905</v>
      </c>
      <c r="B1988" s="10" t="s">
        <v>7906</v>
      </c>
      <c r="C1988" s="5" t="s">
        <v>1955</v>
      </c>
      <c r="D1988" s="5" t="s">
        <v>7891</v>
      </c>
      <c r="E1988" s="5" t="s">
        <v>7892</v>
      </c>
      <c r="F1988" s="5">
        <v>13</v>
      </c>
      <c r="G1988" s="5">
        <v>78</v>
      </c>
    </row>
    <row r="1989" spans="1:7" ht="16.5">
      <c r="A1989" s="5" t="s">
        <v>7907</v>
      </c>
      <c r="B1989" s="10" t="s">
        <v>7908</v>
      </c>
      <c r="C1989" s="5" t="s">
        <v>1956</v>
      </c>
      <c r="D1989" s="5" t="s">
        <v>7909</v>
      </c>
      <c r="E1989" s="5" t="s">
        <v>7892</v>
      </c>
      <c r="F1989" s="5">
        <v>13.8</v>
      </c>
      <c r="G1989" s="5">
        <v>83</v>
      </c>
    </row>
    <row r="1990" spans="1:7" ht="16.5">
      <c r="A1990" s="5" t="s">
        <v>7910</v>
      </c>
      <c r="B1990" s="10" t="s">
        <v>7911</v>
      </c>
      <c r="C1990" s="5" t="s">
        <v>1957</v>
      </c>
      <c r="D1990" s="5" t="s">
        <v>7909</v>
      </c>
      <c r="E1990" s="5" t="s">
        <v>7892</v>
      </c>
      <c r="F1990" s="5">
        <v>13.8</v>
      </c>
      <c r="G1990" s="5">
        <v>83</v>
      </c>
    </row>
    <row r="1991" spans="1:7" ht="16.5">
      <c r="A1991" s="5" t="s">
        <v>7912</v>
      </c>
      <c r="B1991" s="10" t="s">
        <v>7913</v>
      </c>
      <c r="C1991" s="5" t="s">
        <v>1958</v>
      </c>
      <c r="D1991" s="5" t="s">
        <v>7914</v>
      </c>
      <c r="E1991" s="5" t="s">
        <v>7915</v>
      </c>
      <c r="F1991" s="5">
        <v>32</v>
      </c>
      <c r="G1991" s="5">
        <v>192</v>
      </c>
    </row>
    <row r="1992" spans="1:7" ht="16.5">
      <c r="A1992" s="5" t="s">
        <v>7916</v>
      </c>
      <c r="B1992" s="10" t="s">
        <v>7917</v>
      </c>
      <c r="C1992" s="5" t="s">
        <v>1959</v>
      </c>
      <c r="D1992" s="5" t="s">
        <v>7918</v>
      </c>
      <c r="E1992" s="5" t="s">
        <v>7919</v>
      </c>
      <c r="F1992" s="5">
        <v>26</v>
      </c>
      <c r="G1992" s="5">
        <v>156</v>
      </c>
    </row>
    <row r="1993" spans="1:7" ht="16.5">
      <c r="A1993" s="5" t="s">
        <v>7920</v>
      </c>
      <c r="B1993" s="10" t="s">
        <v>7921</v>
      </c>
      <c r="C1993" s="5" t="s">
        <v>1960</v>
      </c>
      <c r="D1993" s="5" t="s">
        <v>7922</v>
      </c>
      <c r="E1993" s="5" t="s">
        <v>7923</v>
      </c>
      <c r="F1993" s="5">
        <v>39.8</v>
      </c>
      <c r="G1993" s="5">
        <v>239</v>
      </c>
    </row>
    <row r="1994" spans="1:7" ht="16.5">
      <c r="A1994" s="5" t="s">
        <v>7924</v>
      </c>
      <c r="B1994" s="10" t="s">
        <v>7925</v>
      </c>
      <c r="C1994" s="5" t="s">
        <v>1961</v>
      </c>
      <c r="D1994" s="5" t="s">
        <v>7926</v>
      </c>
      <c r="E1994" s="5" t="s">
        <v>7923</v>
      </c>
      <c r="F1994" s="5">
        <v>24</v>
      </c>
      <c r="G1994" s="5">
        <v>144</v>
      </c>
    </row>
    <row r="1995" spans="1:7" ht="16.5">
      <c r="A1995" s="5" t="s">
        <v>7927</v>
      </c>
      <c r="B1995" s="10" t="s">
        <v>7928</v>
      </c>
      <c r="C1995" s="5" t="s">
        <v>1962</v>
      </c>
      <c r="D1995" s="5" t="s">
        <v>7929</v>
      </c>
      <c r="E1995" s="5" t="s">
        <v>7930</v>
      </c>
      <c r="F1995" s="5">
        <v>20</v>
      </c>
      <c r="G1995" s="5">
        <v>120</v>
      </c>
    </row>
    <row r="1996" spans="1:7" ht="16.5">
      <c r="A1996" s="5" t="s">
        <v>7931</v>
      </c>
      <c r="B1996" s="10" t="s">
        <v>7932</v>
      </c>
      <c r="C1996" s="5" t="s">
        <v>7933</v>
      </c>
      <c r="D1996" s="5" t="s">
        <v>7934</v>
      </c>
      <c r="E1996" s="5" t="s">
        <v>7930</v>
      </c>
      <c r="F1996" s="5">
        <v>39</v>
      </c>
      <c r="G1996" s="5">
        <v>234</v>
      </c>
    </row>
    <row r="1997" spans="1:7" ht="16.5">
      <c r="A1997" s="5" t="s">
        <v>7935</v>
      </c>
      <c r="B1997" s="10" t="s">
        <v>7936</v>
      </c>
      <c r="C1997" s="5" t="s">
        <v>1963</v>
      </c>
      <c r="D1997" s="5" t="s">
        <v>7937</v>
      </c>
      <c r="E1997" s="5" t="s">
        <v>5184</v>
      </c>
      <c r="F1997" s="5">
        <v>150</v>
      </c>
      <c r="G1997" s="5">
        <v>900</v>
      </c>
    </row>
    <row r="1998" spans="1:7" ht="16.5">
      <c r="A1998" s="5" t="s">
        <v>7938</v>
      </c>
      <c r="B1998" s="10" t="s">
        <v>7939</v>
      </c>
      <c r="C1998" s="5" t="s">
        <v>1964</v>
      </c>
      <c r="D1998" s="5" t="s">
        <v>7940</v>
      </c>
      <c r="E1998" s="5" t="s">
        <v>7941</v>
      </c>
      <c r="F1998" s="5">
        <v>26</v>
      </c>
      <c r="G1998" s="5">
        <v>156</v>
      </c>
    </row>
    <row r="1999" spans="1:7" ht="16.5">
      <c r="A1999" s="5" t="s">
        <v>7942</v>
      </c>
      <c r="B1999" s="10" t="s">
        <v>7943</v>
      </c>
      <c r="C1999" s="5" t="s">
        <v>1965</v>
      </c>
      <c r="D1999" s="5" t="s">
        <v>2899</v>
      </c>
      <c r="E1999" s="5" t="s">
        <v>7941</v>
      </c>
      <c r="F1999" s="5">
        <v>29</v>
      </c>
      <c r="G1999" s="5">
        <v>174</v>
      </c>
    </row>
    <row r="2000" spans="1:7" ht="16.5">
      <c r="A2000" s="5" t="s">
        <v>7944</v>
      </c>
      <c r="B2000" s="10" t="s">
        <v>7945</v>
      </c>
      <c r="C2000" s="5" t="s">
        <v>1966</v>
      </c>
      <c r="D2000" s="5" t="s">
        <v>2899</v>
      </c>
      <c r="E2000" s="5" t="s">
        <v>7941</v>
      </c>
      <c r="F2000" s="5">
        <v>35</v>
      </c>
      <c r="G2000" s="5">
        <v>210</v>
      </c>
    </row>
    <row r="2001" spans="1:7" ht="16.5">
      <c r="A2001" s="5" t="s">
        <v>7946</v>
      </c>
      <c r="B2001" s="10" t="s">
        <v>7947</v>
      </c>
      <c r="C2001" s="5" t="s">
        <v>1967</v>
      </c>
      <c r="D2001" s="5" t="s">
        <v>7948</v>
      </c>
      <c r="E2001" s="5" t="s">
        <v>7941</v>
      </c>
      <c r="F2001" s="5">
        <v>29.8</v>
      </c>
      <c r="G2001" s="5">
        <v>179</v>
      </c>
    </row>
    <row r="2002" spans="1:7" ht="16.5">
      <c r="A2002" s="5" t="s">
        <v>7949</v>
      </c>
      <c r="B2002" s="10" t="s">
        <v>7950</v>
      </c>
      <c r="C2002" s="5" t="s">
        <v>1968</v>
      </c>
      <c r="D2002" s="5" t="s">
        <v>2899</v>
      </c>
      <c r="E2002" s="5" t="s">
        <v>7951</v>
      </c>
      <c r="F2002" s="5">
        <v>4.8</v>
      </c>
      <c r="G2002" s="5">
        <v>29</v>
      </c>
    </row>
    <row r="2003" spans="1:7" ht="16.5">
      <c r="A2003" s="5" t="s">
        <v>7952</v>
      </c>
      <c r="B2003" s="10" t="s">
        <v>7950</v>
      </c>
      <c r="C2003" s="5" t="s">
        <v>1969</v>
      </c>
      <c r="D2003" s="5" t="s">
        <v>2899</v>
      </c>
      <c r="E2003" s="5" t="s">
        <v>7951</v>
      </c>
      <c r="F2003" s="5">
        <v>4.8</v>
      </c>
      <c r="G2003" s="5">
        <v>29</v>
      </c>
    </row>
    <row r="2004" spans="1:7" ht="16.5">
      <c r="A2004" s="5" t="s">
        <v>7953</v>
      </c>
      <c r="B2004" s="10" t="s">
        <v>7954</v>
      </c>
      <c r="C2004" s="5" t="s">
        <v>1970</v>
      </c>
      <c r="D2004" s="5" t="s">
        <v>7955</v>
      </c>
      <c r="E2004" s="5" t="s">
        <v>6692</v>
      </c>
      <c r="F2004" s="5">
        <v>18</v>
      </c>
      <c r="G2004" s="5">
        <v>108</v>
      </c>
    </row>
    <row r="2005" spans="1:7" ht="16.5">
      <c r="A2005" s="5" t="s">
        <v>7956</v>
      </c>
      <c r="B2005" s="10" t="s">
        <v>7957</v>
      </c>
      <c r="C2005" s="5" t="s">
        <v>1971</v>
      </c>
      <c r="D2005" s="5" t="s">
        <v>7955</v>
      </c>
      <c r="E2005" s="5" t="s">
        <v>6692</v>
      </c>
      <c r="F2005" s="5">
        <v>18</v>
      </c>
      <c r="G2005" s="5">
        <v>108</v>
      </c>
    </row>
    <row r="2006" spans="1:7" ht="16.5">
      <c r="A2006" s="5" t="s">
        <v>7958</v>
      </c>
      <c r="B2006" s="10" t="s">
        <v>7959</v>
      </c>
      <c r="C2006" s="5" t="s">
        <v>1972</v>
      </c>
      <c r="D2006" s="5" t="s">
        <v>7960</v>
      </c>
      <c r="E2006" s="5" t="s">
        <v>6692</v>
      </c>
      <c r="F2006" s="5">
        <v>6</v>
      </c>
      <c r="G2006" s="5">
        <v>36</v>
      </c>
    </row>
    <row r="2007" spans="1:7" ht="16.5">
      <c r="A2007" s="5" t="s">
        <v>7961</v>
      </c>
      <c r="B2007" s="10" t="s">
        <v>7962</v>
      </c>
      <c r="C2007" s="5" t="s">
        <v>1973</v>
      </c>
      <c r="D2007" s="5" t="s">
        <v>7963</v>
      </c>
      <c r="E2007" s="5" t="s">
        <v>7964</v>
      </c>
      <c r="F2007" s="5">
        <v>78</v>
      </c>
      <c r="G2007" s="5">
        <v>468</v>
      </c>
    </row>
    <row r="2008" spans="1:7" ht="16.5">
      <c r="A2008" s="5" t="s">
        <v>7965</v>
      </c>
      <c r="B2008" s="10" t="s">
        <v>7966</v>
      </c>
      <c r="C2008" s="5" t="s">
        <v>1974</v>
      </c>
      <c r="D2008" s="5" t="s">
        <v>7967</v>
      </c>
      <c r="E2008" s="5" t="s">
        <v>2297</v>
      </c>
      <c r="F2008" s="5">
        <v>18</v>
      </c>
      <c r="G2008" s="5">
        <v>108</v>
      </c>
    </row>
    <row r="2009" spans="1:7" ht="16.5">
      <c r="A2009" s="5" t="s">
        <v>7968</v>
      </c>
      <c r="B2009" s="10" t="s">
        <v>7969</v>
      </c>
      <c r="C2009" s="5" t="s">
        <v>1975</v>
      </c>
      <c r="D2009" s="5" t="s">
        <v>2899</v>
      </c>
      <c r="E2009" s="5" t="s">
        <v>2297</v>
      </c>
      <c r="F2009" s="5">
        <v>12.8</v>
      </c>
      <c r="G2009" s="5">
        <v>77</v>
      </c>
    </row>
    <row r="2010" spans="1:7" ht="16.5">
      <c r="A2010" s="5" t="s">
        <v>7970</v>
      </c>
      <c r="B2010" s="10" t="s">
        <v>7971</v>
      </c>
      <c r="C2010" s="5" t="s">
        <v>1976</v>
      </c>
      <c r="D2010" s="5" t="s">
        <v>7972</v>
      </c>
      <c r="E2010" s="5" t="s">
        <v>2297</v>
      </c>
      <c r="F2010" s="5">
        <v>16</v>
      </c>
      <c r="G2010" s="5">
        <v>96</v>
      </c>
    </row>
    <row r="2011" spans="1:7" ht="16.5">
      <c r="A2011" s="5" t="s">
        <v>7973</v>
      </c>
      <c r="B2011" s="10" t="s">
        <v>7974</v>
      </c>
      <c r="C2011" s="5" t="s">
        <v>1977</v>
      </c>
      <c r="D2011" s="5" t="s">
        <v>7975</v>
      </c>
      <c r="E2011" s="5" t="s">
        <v>2297</v>
      </c>
      <c r="F2011" s="5">
        <v>150</v>
      </c>
      <c r="G2011" s="5">
        <v>900</v>
      </c>
    </row>
    <row r="2012" spans="1:7" ht="16.5">
      <c r="A2012" s="5" t="s">
        <v>7976</v>
      </c>
      <c r="B2012" s="10" t="s">
        <v>7977</v>
      </c>
      <c r="C2012" s="5" t="s">
        <v>1978</v>
      </c>
      <c r="D2012" s="5" t="s">
        <v>7978</v>
      </c>
      <c r="E2012" s="5" t="s">
        <v>2297</v>
      </c>
      <c r="F2012" s="5">
        <v>28</v>
      </c>
      <c r="G2012" s="5">
        <v>168</v>
      </c>
    </row>
    <row r="2013" spans="1:7" ht="16.5">
      <c r="A2013" s="5" t="s">
        <v>7979</v>
      </c>
      <c r="B2013" s="10" t="s">
        <v>7980</v>
      </c>
      <c r="C2013" s="5" t="s">
        <v>1979</v>
      </c>
      <c r="D2013" s="5" t="s">
        <v>7981</v>
      </c>
      <c r="E2013" s="5" t="s">
        <v>2297</v>
      </c>
      <c r="F2013" s="5">
        <v>28</v>
      </c>
      <c r="G2013" s="5">
        <v>168</v>
      </c>
    </row>
    <row r="2014" spans="1:7" ht="16.5">
      <c r="A2014" s="5" t="s">
        <v>7982</v>
      </c>
      <c r="B2014" s="10" t="s">
        <v>7983</v>
      </c>
      <c r="C2014" s="5" t="s">
        <v>1980</v>
      </c>
      <c r="D2014" s="5" t="s">
        <v>7984</v>
      </c>
      <c r="E2014" s="5" t="s">
        <v>2297</v>
      </c>
      <c r="F2014" s="5">
        <v>350</v>
      </c>
      <c r="G2014" s="5">
        <v>2100</v>
      </c>
    </row>
    <row r="2015" spans="1:7" ht="16.5">
      <c r="A2015" s="5" t="s">
        <v>7985</v>
      </c>
      <c r="B2015" s="10" t="s">
        <v>7986</v>
      </c>
      <c r="C2015" s="5" t="s">
        <v>1981</v>
      </c>
      <c r="D2015" s="5" t="s">
        <v>7987</v>
      </c>
      <c r="E2015" s="5" t="s">
        <v>2297</v>
      </c>
      <c r="F2015" s="5">
        <v>36</v>
      </c>
      <c r="G2015" s="5">
        <v>216</v>
      </c>
    </row>
    <row r="2016" spans="1:7" ht="16.5">
      <c r="A2016" s="5" t="s">
        <v>7988</v>
      </c>
      <c r="B2016" s="10" t="s">
        <v>7989</v>
      </c>
      <c r="C2016" s="5" t="s">
        <v>1982</v>
      </c>
      <c r="D2016" s="5" t="s">
        <v>7990</v>
      </c>
      <c r="E2016" s="5" t="s">
        <v>2297</v>
      </c>
      <c r="F2016" s="5">
        <v>36</v>
      </c>
      <c r="G2016" s="5">
        <v>216</v>
      </c>
    </row>
    <row r="2017" spans="1:7" ht="16.5">
      <c r="A2017" s="5" t="s">
        <v>7991</v>
      </c>
      <c r="B2017" s="10" t="s">
        <v>7992</v>
      </c>
      <c r="C2017" s="5" t="s">
        <v>1983</v>
      </c>
      <c r="D2017" s="5" t="s">
        <v>7993</v>
      </c>
      <c r="E2017" s="5" t="s">
        <v>2297</v>
      </c>
      <c r="F2017" s="5">
        <v>36</v>
      </c>
      <c r="G2017" s="5">
        <v>216</v>
      </c>
    </row>
    <row r="2018" spans="1:7" ht="16.5">
      <c r="A2018" s="5" t="s">
        <v>7994</v>
      </c>
      <c r="B2018" s="10" t="s">
        <v>7995</v>
      </c>
      <c r="C2018" s="5" t="s">
        <v>1984</v>
      </c>
      <c r="D2018" s="5" t="s">
        <v>3817</v>
      </c>
      <c r="E2018" s="5" t="s">
        <v>2297</v>
      </c>
      <c r="F2018" s="5">
        <v>36</v>
      </c>
      <c r="G2018" s="5">
        <v>216</v>
      </c>
    </row>
    <row r="2019" spans="1:7" ht="16.5">
      <c r="A2019" s="5" t="s">
        <v>7996</v>
      </c>
      <c r="B2019" s="10" t="s">
        <v>2236</v>
      </c>
      <c r="C2019" s="5" t="s">
        <v>1985</v>
      </c>
      <c r="D2019" s="5" t="s">
        <v>7997</v>
      </c>
      <c r="E2019" s="5" t="s">
        <v>7998</v>
      </c>
      <c r="F2019" s="5">
        <v>24</v>
      </c>
      <c r="G2019" s="5">
        <v>144</v>
      </c>
    </row>
    <row r="2020" spans="1:7" ht="16.5">
      <c r="A2020" s="5" t="s">
        <v>7999</v>
      </c>
      <c r="B2020" s="10" t="s">
        <v>2236</v>
      </c>
      <c r="C2020" s="5" t="s">
        <v>1986</v>
      </c>
      <c r="D2020" s="5" t="s">
        <v>8000</v>
      </c>
      <c r="E2020" s="5" t="s">
        <v>7998</v>
      </c>
      <c r="F2020" s="5">
        <v>24</v>
      </c>
      <c r="G2020" s="5">
        <v>144</v>
      </c>
    </row>
    <row r="2021" spans="1:7" ht="16.5">
      <c r="A2021" s="5" t="s">
        <v>8001</v>
      </c>
      <c r="B2021" s="10" t="s">
        <v>8002</v>
      </c>
      <c r="C2021" s="5" t="s">
        <v>1987</v>
      </c>
      <c r="D2021" s="5" t="s">
        <v>8003</v>
      </c>
      <c r="E2021" s="5" t="s">
        <v>7998</v>
      </c>
      <c r="F2021" s="5">
        <v>35</v>
      </c>
      <c r="G2021" s="5">
        <v>210</v>
      </c>
    </row>
    <row r="2022" spans="1:7" ht="16.5">
      <c r="A2022" s="5" t="s">
        <v>8004</v>
      </c>
      <c r="B2022" s="10" t="s">
        <v>8005</v>
      </c>
      <c r="C2022" s="5" t="s">
        <v>1988</v>
      </c>
      <c r="D2022" s="5" t="s">
        <v>8006</v>
      </c>
      <c r="E2022" s="5" t="s">
        <v>7599</v>
      </c>
      <c r="F2022" s="5">
        <v>28</v>
      </c>
      <c r="G2022" s="5">
        <v>168</v>
      </c>
    </row>
    <row r="2023" spans="1:7" ht="16.5">
      <c r="A2023" s="5" t="s">
        <v>8007</v>
      </c>
      <c r="B2023" s="10" t="s">
        <v>8008</v>
      </c>
      <c r="C2023" s="5" t="s">
        <v>1989</v>
      </c>
      <c r="D2023" s="5" t="s">
        <v>8009</v>
      </c>
      <c r="E2023" s="5" t="s">
        <v>7599</v>
      </c>
      <c r="F2023" s="5">
        <v>210</v>
      </c>
      <c r="G2023" s="5">
        <v>1260</v>
      </c>
    </row>
    <row r="2024" spans="1:7" ht="16.5">
      <c r="A2024" s="5" t="s">
        <v>8010</v>
      </c>
      <c r="B2024" s="10" t="s">
        <v>8011</v>
      </c>
      <c r="C2024" s="5" t="s">
        <v>1990</v>
      </c>
      <c r="D2024" s="5" t="s">
        <v>8012</v>
      </c>
      <c r="E2024" s="5" t="s">
        <v>7599</v>
      </c>
      <c r="F2024" s="5">
        <v>19</v>
      </c>
      <c r="G2024" s="5">
        <v>114</v>
      </c>
    </row>
    <row r="2025" spans="1:7" ht="16.5">
      <c r="A2025" s="5" t="s">
        <v>8013</v>
      </c>
      <c r="B2025" s="10" t="s">
        <v>8014</v>
      </c>
      <c r="C2025" s="5" t="s">
        <v>1991</v>
      </c>
      <c r="D2025" s="5" t="s">
        <v>8015</v>
      </c>
      <c r="E2025" s="5" t="s">
        <v>7599</v>
      </c>
      <c r="F2025" s="5">
        <v>17</v>
      </c>
      <c r="G2025" s="5">
        <v>102</v>
      </c>
    </row>
    <row r="2026" spans="1:7" ht="16.5">
      <c r="A2026" s="5" t="s">
        <v>8016</v>
      </c>
      <c r="B2026" s="10" t="s">
        <v>8017</v>
      </c>
      <c r="C2026" s="5" t="s">
        <v>1992</v>
      </c>
      <c r="D2026" s="5" t="s">
        <v>8018</v>
      </c>
      <c r="E2026" s="5" t="s">
        <v>7599</v>
      </c>
      <c r="F2026" s="5">
        <v>27</v>
      </c>
      <c r="G2026" s="5">
        <v>162</v>
      </c>
    </row>
    <row r="2027" spans="1:7" ht="16.5">
      <c r="A2027" s="5" t="s">
        <v>8019</v>
      </c>
      <c r="B2027" s="10" t="s">
        <v>8020</v>
      </c>
      <c r="C2027" s="5" t="s">
        <v>1993</v>
      </c>
      <c r="D2027" s="5" t="s">
        <v>8021</v>
      </c>
      <c r="E2027" s="5" t="s">
        <v>7599</v>
      </c>
      <c r="F2027" s="5">
        <v>28</v>
      </c>
      <c r="G2027" s="5">
        <v>168</v>
      </c>
    </row>
    <row r="2028" spans="1:7" ht="16.5">
      <c r="A2028" s="5" t="s">
        <v>8022</v>
      </c>
      <c r="B2028" s="10" t="s">
        <v>8023</v>
      </c>
      <c r="C2028" s="5" t="s">
        <v>1994</v>
      </c>
      <c r="D2028" s="5" t="s">
        <v>8024</v>
      </c>
      <c r="E2028" s="5" t="s">
        <v>7599</v>
      </c>
      <c r="F2028" s="5">
        <v>30</v>
      </c>
      <c r="G2028" s="5">
        <v>180</v>
      </c>
    </row>
    <row r="2029" spans="1:7" ht="16.5">
      <c r="A2029" s="5" t="s">
        <v>8025</v>
      </c>
      <c r="B2029" s="10" t="s">
        <v>8026</v>
      </c>
      <c r="C2029" s="5" t="s">
        <v>1995</v>
      </c>
      <c r="D2029" s="5" t="s">
        <v>8027</v>
      </c>
      <c r="E2029" s="5" t="s">
        <v>7599</v>
      </c>
      <c r="F2029" s="5">
        <v>64</v>
      </c>
      <c r="G2029" s="5">
        <v>384</v>
      </c>
    </row>
    <row r="2030" spans="1:7" ht="16.5">
      <c r="A2030" s="5" t="s">
        <v>8028</v>
      </c>
      <c r="B2030" s="10" t="s">
        <v>8029</v>
      </c>
      <c r="C2030" s="5" t="s">
        <v>1996</v>
      </c>
      <c r="D2030" s="5" t="s">
        <v>8030</v>
      </c>
      <c r="E2030" s="5" t="s">
        <v>7599</v>
      </c>
      <c r="F2030" s="5">
        <v>24</v>
      </c>
      <c r="G2030" s="5">
        <v>144</v>
      </c>
    </row>
    <row r="2031" spans="1:7" ht="16.5">
      <c r="A2031" s="5" t="s">
        <v>8031</v>
      </c>
      <c r="B2031" s="10" t="s">
        <v>8032</v>
      </c>
      <c r="C2031" s="5" t="s">
        <v>1997</v>
      </c>
      <c r="D2031" s="5" t="s">
        <v>8033</v>
      </c>
      <c r="E2031" s="5" t="s">
        <v>6639</v>
      </c>
      <c r="F2031" s="5">
        <v>29.8</v>
      </c>
      <c r="G2031" s="5">
        <v>179</v>
      </c>
    </row>
    <row r="2032" spans="1:7" ht="16.5">
      <c r="A2032" s="5" t="s">
        <v>8034</v>
      </c>
      <c r="B2032" s="10" t="s">
        <v>8035</v>
      </c>
      <c r="C2032" s="5" t="s">
        <v>1998</v>
      </c>
      <c r="D2032" s="5" t="s">
        <v>8033</v>
      </c>
      <c r="E2032" s="5" t="s">
        <v>6639</v>
      </c>
      <c r="F2032" s="5">
        <v>29.8</v>
      </c>
      <c r="G2032" s="5">
        <v>179</v>
      </c>
    </row>
    <row r="2033" spans="1:7" ht="16.5">
      <c r="A2033" s="5" t="s">
        <v>8036</v>
      </c>
      <c r="B2033" s="10" t="s">
        <v>8037</v>
      </c>
      <c r="C2033" s="5" t="s">
        <v>1999</v>
      </c>
      <c r="D2033" s="5" t="s">
        <v>8033</v>
      </c>
      <c r="E2033" s="5" t="s">
        <v>6639</v>
      </c>
      <c r="F2033" s="5">
        <v>29.8</v>
      </c>
      <c r="G2033" s="5">
        <v>179</v>
      </c>
    </row>
    <row r="2034" spans="1:7" ht="16.5">
      <c r="A2034" s="5" t="s">
        <v>8038</v>
      </c>
      <c r="B2034" s="10" t="s">
        <v>8039</v>
      </c>
      <c r="C2034" s="5" t="s">
        <v>2000</v>
      </c>
      <c r="D2034" s="5" t="s">
        <v>2337</v>
      </c>
      <c r="E2034" s="5" t="s">
        <v>6656</v>
      </c>
      <c r="F2034" s="5">
        <v>22</v>
      </c>
      <c r="G2034" s="5">
        <v>132</v>
      </c>
    </row>
    <row r="2035" spans="1:7" ht="16.5">
      <c r="A2035" s="5" t="s">
        <v>8040</v>
      </c>
      <c r="B2035" s="10" t="s">
        <v>8041</v>
      </c>
      <c r="C2035" s="5" t="s">
        <v>2001</v>
      </c>
      <c r="D2035" s="5" t="s">
        <v>8042</v>
      </c>
      <c r="E2035" s="5" t="s">
        <v>6656</v>
      </c>
      <c r="F2035" s="5">
        <v>20</v>
      </c>
      <c r="G2035" s="5">
        <v>120</v>
      </c>
    </row>
    <row r="2036" spans="1:7" ht="16.5">
      <c r="A2036" s="5" t="s">
        <v>8043</v>
      </c>
      <c r="B2036" s="10" t="s">
        <v>8044</v>
      </c>
      <c r="C2036" s="5" t="s">
        <v>2002</v>
      </c>
      <c r="D2036" s="5" t="s">
        <v>8045</v>
      </c>
      <c r="E2036" s="5" t="s">
        <v>6656</v>
      </c>
      <c r="F2036" s="5">
        <v>32</v>
      </c>
      <c r="G2036" s="5">
        <v>192</v>
      </c>
    </row>
    <row r="2037" spans="1:7" ht="16.5">
      <c r="A2037" s="5" t="s">
        <v>8046</v>
      </c>
      <c r="B2037" s="10" t="s">
        <v>8047</v>
      </c>
      <c r="C2037" s="5" t="s">
        <v>2003</v>
      </c>
      <c r="D2037" s="5" t="s">
        <v>8048</v>
      </c>
      <c r="E2037" s="5" t="s">
        <v>6685</v>
      </c>
      <c r="F2037" s="5">
        <v>28</v>
      </c>
      <c r="G2037" s="5">
        <v>168</v>
      </c>
    </row>
    <row r="2038" spans="1:7" ht="16.5">
      <c r="A2038" s="5" t="s">
        <v>8049</v>
      </c>
      <c r="B2038" s="10" t="s">
        <v>8050</v>
      </c>
      <c r="C2038" s="5" t="s">
        <v>2004</v>
      </c>
      <c r="D2038" s="5" t="s">
        <v>8051</v>
      </c>
      <c r="E2038" s="5" t="s">
        <v>6685</v>
      </c>
      <c r="F2038" s="5">
        <v>29</v>
      </c>
      <c r="G2038" s="5">
        <v>174</v>
      </c>
    </row>
    <row r="2039" spans="1:7" ht="16.5">
      <c r="A2039" s="5" t="s">
        <v>8052</v>
      </c>
      <c r="B2039" s="10" t="s">
        <v>8053</v>
      </c>
      <c r="C2039" s="5" t="s">
        <v>2005</v>
      </c>
      <c r="D2039" s="5" t="s">
        <v>8054</v>
      </c>
      <c r="E2039" s="5" t="s">
        <v>6526</v>
      </c>
      <c r="F2039" s="5">
        <v>32</v>
      </c>
      <c r="G2039" s="5">
        <v>192</v>
      </c>
    </row>
    <row r="2040" spans="1:7" ht="16.5">
      <c r="A2040" s="5" t="s">
        <v>8055</v>
      </c>
      <c r="B2040" s="10" t="s">
        <v>8056</v>
      </c>
      <c r="C2040" s="5" t="s">
        <v>2006</v>
      </c>
      <c r="D2040" s="5" t="s">
        <v>8057</v>
      </c>
      <c r="E2040" s="5" t="s">
        <v>6700</v>
      </c>
      <c r="F2040" s="5">
        <v>30</v>
      </c>
      <c r="G2040" s="5">
        <v>180</v>
      </c>
    </row>
    <row r="2041" spans="1:7" ht="16.5">
      <c r="A2041" s="5" t="s">
        <v>8058</v>
      </c>
      <c r="B2041" s="10" t="s">
        <v>8059</v>
      </c>
      <c r="C2041" s="5" t="s">
        <v>2007</v>
      </c>
      <c r="D2041" s="5" t="s">
        <v>8057</v>
      </c>
      <c r="E2041" s="5" t="s">
        <v>6700</v>
      </c>
      <c r="F2041" s="5">
        <v>35</v>
      </c>
      <c r="G2041" s="5">
        <v>210</v>
      </c>
    </row>
    <row r="2042" spans="1:7" ht="16.5">
      <c r="A2042" s="5" t="s">
        <v>8060</v>
      </c>
      <c r="B2042" s="10" t="s">
        <v>8061</v>
      </c>
      <c r="C2042" s="5" t="s">
        <v>2008</v>
      </c>
      <c r="D2042" s="5" t="s">
        <v>8057</v>
      </c>
      <c r="E2042" s="5" t="s">
        <v>6700</v>
      </c>
      <c r="F2042" s="5">
        <v>50</v>
      </c>
      <c r="G2042" s="5">
        <v>300</v>
      </c>
    </row>
    <row r="2043" spans="1:7" ht="16.5">
      <c r="A2043" s="5" t="s">
        <v>8062</v>
      </c>
      <c r="B2043" s="10" t="s">
        <v>8063</v>
      </c>
      <c r="C2043" s="5" t="s">
        <v>2009</v>
      </c>
      <c r="D2043" s="5" t="s">
        <v>8064</v>
      </c>
      <c r="E2043" s="5" t="s">
        <v>6700</v>
      </c>
      <c r="F2043" s="5">
        <v>27.5</v>
      </c>
      <c r="G2043" s="5">
        <v>162</v>
      </c>
    </row>
    <row r="2044" spans="1:7" ht="16.5">
      <c r="A2044" s="5" t="s">
        <v>8065</v>
      </c>
      <c r="B2044" s="10" t="s">
        <v>8066</v>
      </c>
      <c r="C2044" s="5" t="s">
        <v>2010</v>
      </c>
      <c r="D2044" s="5" t="s">
        <v>8067</v>
      </c>
      <c r="E2044" s="5" t="s">
        <v>6700</v>
      </c>
      <c r="F2044" s="5">
        <v>25</v>
      </c>
      <c r="G2044" s="5">
        <v>150</v>
      </c>
    </row>
    <row r="2045" spans="1:7" ht="16.5">
      <c r="A2045" s="5" t="s">
        <v>8068</v>
      </c>
      <c r="B2045" s="10" t="s">
        <v>8069</v>
      </c>
      <c r="C2045" s="5" t="s">
        <v>2011</v>
      </c>
      <c r="D2045" s="5" t="s">
        <v>8070</v>
      </c>
      <c r="E2045" s="5" t="s">
        <v>7705</v>
      </c>
      <c r="F2045" s="5">
        <v>31</v>
      </c>
      <c r="G2045" s="5">
        <v>186</v>
      </c>
    </row>
    <row r="2046" spans="1:7" ht="16.5">
      <c r="A2046" s="5" t="s">
        <v>8071</v>
      </c>
      <c r="B2046" s="10" t="s">
        <v>8072</v>
      </c>
      <c r="C2046" s="5" t="s">
        <v>2012</v>
      </c>
      <c r="D2046" s="5" t="s">
        <v>8073</v>
      </c>
      <c r="E2046" s="5" t="s">
        <v>7705</v>
      </c>
      <c r="F2046" s="5">
        <v>13</v>
      </c>
      <c r="G2046" s="5">
        <v>78</v>
      </c>
    </row>
    <row r="2047" spans="1:7" ht="16.5">
      <c r="A2047" s="5" t="s">
        <v>8074</v>
      </c>
      <c r="B2047" s="10" t="s">
        <v>8075</v>
      </c>
      <c r="C2047" s="5" t="s">
        <v>2013</v>
      </c>
      <c r="D2047" s="5" t="s">
        <v>8076</v>
      </c>
      <c r="E2047" s="5" t="s">
        <v>7705</v>
      </c>
      <c r="F2047" s="5">
        <v>21</v>
      </c>
      <c r="G2047" s="5">
        <v>126</v>
      </c>
    </row>
    <row r="2048" spans="1:7" ht="16.5">
      <c r="A2048" s="5" t="s">
        <v>8077</v>
      </c>
      <c r="B2048" s="10" t="s">
        <v>8078</v>
      </c>
      <c r="C2048" s="5" t="s">
        <v>2014</v>
      </c>
      <c r="D2048" s="5" t="s">
        <v>8079</v>
      </c>
      <c r="E2048" s="5" t="s">
        <v>7705</v>
      </c>
      <c r="F2048" s="5">
        <v>47</v>
      </c>
      <c r="G2048" s="5">
        <v>282</v>
      </c>
    </row>
    <row r="2049" spans="1:7" ht="16.5">
      <c r="A2049" s="5" t="s">
        <v>8080</v>
      </c>
      <c r="B2049" s="10" t="s">
        <v>8081</v>
      </c>
      <c r="C2049" s="5" t="s">
        <v>2015</v>
      </c>
      <c r="D2049" s="5" t="s">
        <v>8082</v>
      </c>
      <c r="E2049" s="5" t="s">
        <v>7705</v>
      </c>
      <c r="F2049" s="5">
        <v>25</v>
      </c>
      <c r="G2049" s="5">
        <v>150</v>
      </c>
    </row>
    <row r="2050" spans="1:7" ht="16.5">
      <c r="A2050" s="5" t="s">
        <v>8083</v>
      </c>
      <c r="B2050" s="10" t="s">
        <v>8084</v>
      </c>
      <c r="C2050" s="5" t="s">
        <v>2016</v>
      </c>
      <c r="D2050" s="5" t="s">
        <v>7880</v>
      </c>
      <c r="E2050" s="5" t="s">
        <v>7609</v>
      </c>
      <c r="F2050" s="5">
        <v>28</v>
      </c>
      <c r="G2050" s="5">
        <v>168</v>
      </c>
    </row>
    <row r="2051" spans="1:7" ht="16.5">
      <c r="A2051" s="5" t="s">
        <v>8085</v>
      </c>
      <c r="B2051" s="10" t="s">
        <v>8086</v>
      </c>
      <c r="C2051" s="5" t="s">
        <v>2017</v>
      </c>
      <c r="D2051" s="5" t="s">
        <v>7880</v>
      </c>
      <c r="E2051" s="5" t="s">
        <v>7609</v>
      </c>
      <c r="F2051" s="5">
        <v>28</v>
      </c>
      <c r="G2051" s="5">
        <v>168</v>
      </c>
    </row>
    <row r="2052" spans="1:7" ht="16.5">
      <c r="A2052" s="5" t="s">
        <v>8087</v>
      </c>
      <c r="B2052" s="10" t="s">
        <v>8088</v>
      </c>
      <c r="C2052" s="5" t="s">
        <v>2018</v>
      </c>
      <c r="D2052" s="5" t="s">
        <v>7880</v>
      </c>
      <c r="E2052" s="5" t="s">
        <v>7609</v>
      </c>
      <c r="F2052" s="5">
        <v>28</v>
      </c>
      <c r="G2052" s="5">
        <v>168</v>
      </c>
    </row>
    <row r="2053" spans="1:7" ht="16.5">
      <c r="A2053" s="5" t="s">
        <v>8089</v>
      </c>
      <c r="B2053" s="10" t="s">
        <v>8090</v>
      </c>
      <c r="C2053" s="5" t="s">
        <v>2019</v>
      </c>
      <c r="D2053" s="5" t="s">
        <v>7880</v>
      </c>
      <c r="E2053" s="5" t="s">
        <v>7609</v>
      </c>
      <c r="F2053" s="5">
        <v>28</v>
      </c>
      <c r="G2053" s="5">
        <v>168</v>
      </c>
    </row>
    <row r="2054" spans="1:7" ht="16.5">
      <c r="A2054" s="5" t="s">
        <v>8091</v>
      </c>
      <c r="B2054" s="10" t="s">
        <v>8092</v>
      </c>
      <c r="C2054" s="5" t="s">
        <v>2020</v>
      </c>
      <c r="D2054" s="5" t="s">
        <v>8093</v>
      </c>
      <c r="E2054" s="5" t="s">
        <v>7609</v>
      </c>
      <c r="F2054" s="5">
        <v>38</v>
      </c>
      <c r="G2054" s="5">
        <v>228</v>
      </c>
    </row>
    <row r="2055" spans="1:7" ht="16.5">
      <c r="A2055" s="5" t="s">
        <v>8094</v>
      </c>
      <c r="B2055" s="10" t="s">
        <v>8095</v>
      </c>
      <c r="C2055" s="5" t="s">
        <v>2021</v>
      </c>
      <c r="D2055" s="5" t="s">
        <v>2860</v>
      </c>
      <c r="E2055" s="5" t="s">
        <v>7609</v>
      </c>
      <c r="F2055" s="5">
        <v>38</v>
      </c>
      <c r="G2055" s="5">
        <v>228</v>
      </c>
    </row>
    <row r="2056" spans="1:7" ht="16.5">
      <c r="A2056" s="5" t="s">
        <v>8096</v>
      </c>
      <c r="B2056" s="10" t="s">
        <v>8097</v>
      </c>
      <c r="C2056" s="5" t="s">
        <v>2022</v>
      </c>
      <c r="D2056" s="5" t="s">
        <v>5196</v>
      </c>
      <c r="E2056" s="5" t="s">
        <v>8098</v>
      </c>
      <c r="F2056" s="5">
        <v>58</v>
      </c>
      <c r="G2056" s="5">
        <v>348</v>
      </c>
    </row>
    <row r="2057" spans="1:7" ht="16.5">
      <c r="A2057" s="5" t="s">
        <v>8099</v>
      </c>
      <c r="B2057" s="10" t="s">
        <v>8100</v>
      </c>
      <c r="C2057" s="5" t="s">
        <v>2023</v>
      </c>
      <c r="D2057" s="5" t="s">
        <v>2337</v>
      </c>
      <c r="E2057" s="5" t="s">
        <v>8101</v>
      </c>
      <c r="F2057" s="5">
        <v>26.8</v>
      </c>
      <c r="G2057" s="5">
        <v>161</v>
      </c>
    </row>
    <row r="2058" spans="1:7" ht="16.5">
      <c r="A2058" s="5" t="s">
        <v>8102</v>
      </c>
      <c r="B2058" s="10" t="s">
        <v>8103</v>
      </c>
      <c r="C2058" s="5" t="s">
        <v>2024</v>
      </c>
      <c r="D2058" s="5" t="s">
        <v>7328</v>
      </c>
      <c r="E2058" s="5" t="s">
        <v>8101</v>
      </c>
      <c r="F2058" s="5">
        <v>26.8</v>
      </c>
      <c r="G2058" s="5">
        <v>161</v>
      </c>
    </row>
    <row r="2059" spans="1:7" ht="16.5">
      <c r="A2059" s="5" t="s">
        <v>8104</v>
      </c>
      <c r="B2059" s="10" t="s">
        <v>8105</v>
      </c>
      <c r="C2059" s="5" t="s">
        <v>2025</v>
      </c>
      <c r="D2059" s="5" t="s">
        <v>8106</v>
      </c>
      <c r="E2059" s="5" t="s">
        <v>8101</v>
      </c>
      <c r="F2059" s="5">
        <v>29.8</v>
      </c>
      <c r="G2059" s="5">
        <v>179</v>
      </c>
    </row>
    <row r="2060" spans="1:7" ht="16.5">
      <c r="A2060" s="5" t="s">
        <v>8107</v>
      </c>
      <c r="B2060" s="10" t="s">
        <v>8105</v>
      </c>
      <c r="C2060" s="5" t="s">
        <v>2026</v>
      </c>
      <c r="D2060" s="5" t="s">
        <v>8106</v>
      </c>
      <c r="E2060" s="5" t="s">
        <v>8101</v>
      </c>
      <c r="F2060" s="5">
        <v>29.8</v>
      </c>
      <c r="G2060" s="5">
        <v>179</v>
      </c>
    </row>
    <row r="2061" spans="1:7" ht="16.5">
      <c r="A2061" s="5" t="s">
        <v>8108</v>
      </c>
      <c r="B2061" s="10" t="s">
        <v>8105</v>
      </c>
      <c r="C2061" s="5" t="s">
        <v>2027</v>
      </c>
      <c r="D2061" s="5" t="s">
        <v>8106</v>
      </c>
      <c r="E2061" s="5" t="s">
        <v>8101</v>
      </c>
      <c r="F2061" s="5">
        <v>29.8</v>
      </c>
      <c r="G2061" s="5">
        <v>179</v>
      </c>
    </row>
    <row r="2062" spans="1:7" ht="16.5">
      <c r="A2062" s="5" t="s">
        <v>8109</v>
      </c>
      <c r="B2062" s="10" t="s">
        <v>8110</v>
      </c>
      <c r="C2062" s="5" t="s">
        <v>2028</v>
      </c>
      <c r="D2062" s="5" t="s">
        <v>8111</v>
      </c>
      <c r="E2062" s="5" t="s">
        <v>8101</v>
      </c>
      <c r="F2062" s="5">
        <v>22.8</v>
      </c>
      <c r="G2062" s="5">
        <v>137</v>
      </c>
    </row>
    <row r="2063" spans="1:7" ht="16.5">
      <c r="A2063" s="5" t="s">
        <v>8112</v>
      </c>
      <c r="B2063" s="10" t="s">
        <v>8113</v>
      </c>
      <c r="C2063" s="5" t="s">
        <v>2029</v>
      </c>
      <c r="D2063" s="5" t="s">
        <v>8114</v>
      </c>
      <c r="E2063" s="5" t="s">
        <v>7848</v>
      </c>
      <c r="F2063" s="5">
        <v>180</v>
      </c>
      <c r="G2063" s="5">
        <v>1080</v>
      </c>
    </row>
    <row r="2064" spans="1:7" ht="16.5">
      <c r="A2064" s="5" t="s">
        <v>8115</v>
      </c>
      <c r="B2064" s="10" t="s">
        <v>8116</v>
      </c>
      <c r="C2064" s="5" t="s">
        <v>2030</v>
      </c>
      <c r="D2064" s="5" t="s">
        <v>2899</v>
      </c>
      <c r="E2064" s="5" t="s">
        <v>7848</v>
      </c>
      <c r="F2064" s="5">
        <v>20</v>
      </c>
      <c r="G2064" s="5">
        <v>120</v>
      </c>
    </row>
    <row r="2065" spans="1:7" ht="16.5">
      <c r="A2065" s="5" t="s">
        <v>8117</v>
      </c>
      <c r="B2065" s="10" t="s">
        <v>8118</v>
      </c>
      <c r="C2065" s="5" t="s">
        <v>2031</v>
      </c>
      <c r="D2065" s="5" t="s">
        <v>2899</v>
      </c>
      <c r="E2065" s="5" t="s">
        <v>7848</v>
      </c>
      <c r="F2065" s="5">
        <v>38</v>
      </c>
      <c r="G2065" s="5">
        <v>228</v>
      </c>
    </row>
    <row r="2066" spans="1:7" ht="16.5">
      <c r="A2066" s="5" t="s">
        <v>8119</v>
      </c>
      <c r="B2066" s="10" t="s">
        <v>8120</v>
      </c>
      <c r="C2066" s="5" t="s">
        <v>2032</v>
      </c>
      <c r="D2066" s="5" t="s">
        <v>8121</v>
      </c>
      <c r="E2066" s="5" t="s">
        <v>7848</v>
      </c>
      <c r="F2066" s="5">
        <v>28</v>
      </c>
      <c r="G2066" s="5">
        <v>168</v>
      </c>
    </row>
    <row r="2067" spans="1:7" ht="16.5">
      <c r="A2067" s="5" t="s">
        <v>8122</v>
      </c>
      <c r="B2067" s="10" t="s">
        <v>8123</v>
      </c>
      <c r="C2067" s="5" t="s">
        <v>2033</v>
      </c>
      <c r="D2067" s="5" t="s">
        <v>8121</v>
      </c>
      <c r="E2067" s="5" t="s">
        <v>7848</v>
      </c>
      <c r="F2067" s="5">
        <v>60</v>
      </c>
      <c r="G2067" s="5">
        <v>360</v>
      </c>
    </row>
    <row r="2068" spans="1:7" ht="16.5">
      <c r="A2068" s="5" t="s">
        <v>8124</v>
      </c>
      <c r="B2068" s="10" t="s">
        <v>8125</v>
      </c>
      <c r="C2068" s="5" t="s">
        <v>2034</v>
      </c>
      <c r="D2068" s="5" t="s">
        <v>8121</v>
      </c>
      <c r="E2068" s="5" t="s">
        <v>7848</v>
      </c>
      <c r="F2068" s="5">
        <v>80</v>
      </c>
      <c r="G2068" s="5">
        <v>480</v>
      </c>
    </row>
    <row r="2069" spans="1:7" ht="16.5">
      <c r="A2069" s="5" t="s">
        <v>8126</v>
      </c>
      <c r="B2069" s="10" t="s">
        <v>8127</v>
      </c>
      <c r="C2069" s="5" t="s">
        <v>2035</v>
      </c>
      <c r="D2069" s="5" t="s">
        <v>8121</v>
      </c>
      <c r="E2069" s="5" t="s">
        <v>7848</v>
      </c>
      <c r="F2069" s="5">
        <v>60</v>
      </c>
      <c r="G2069" s="5">
        <v>360</v>
      </c>
    </row>
    <row r="2070" spans="1:7" ht="16.5">
      <c r="A2070" s="5" t="s">
        <v>8128</v>
      </c>
      <c r="B2070" s="10" t="s">
        <v>8129</v>
      </c>
      <c r="C2070" s="5" t="s">
        <v>2036</v>
      </c>
      <c r="D2070" s="5" t="s">
        <v>8121</v>
      </c>
      <c r="E2070" s="5" t="s">
        <v>7848</v>
      </c>
      <c r="F2070" s="5">
        <v>80</v>
      </c>
      <c r="G2070" s="5">
        <v>480</v>
      </c>
    </row>
    <row r="2071" spans="1:7" ht="16.5">
      <c r="A2071" s="5" t="s">
        <v>8130</v>
      </c>
      <c r="B2071" s="10" t="s">
        <v>8131</v>
      </c>
      <c r="C2071" s="5" t="s">
        <v>2037</v>
      </c>
      <c r="D2071" s="5" t="s">
        <v>8121</v>
      </c>
      <c r="E2071" s="5" t="s">
        <v>7848</v>
      </c>
      <c r="F2071" s="5">
        <v>80</v>
      </c>
      <c r="G2071" s="5">
        <v>480</v>
      </c>
    </row>
    <row r="2072" spans="1:7" ht="16.5">
      <c r="A2072" s="5" t="s">
        <v>8132</v>
      </c>
      <c r="B2072" s="10" t="s">
        <v>8133</v>
      </c>
      <c r="C2072" s="5" t="s">
        <v>2038</v>
      </c>
      <c r="D2072" s="5" t="s">
        <v>8121</v>
      </c>
      <c r="E2072" s="5" t="s">
        <v>7848</v>
      </c>
      <c r="F2072" s="5">
        <v>70</v>
      </c>
      <c r="G2072" s="5">
        <v>420</v>
      </c>
    </row>
    <row r="2073" spans="1:7" ht="16.5">
      <c r="A2073" s="5" t="s">
        <v>8134</v>
      </c>
      <c r="B2073" s="10" t="s">
        <v>8135</v>
      </c>
      <c r="C2073" s="5" t="s">
        <v>2039</v>
      </c>
      <c r="D2073" s="5" t="s">
        <v>8121</v>
      </c>
      <c r="E2073" s="5" t="s">
        <v>7848</v>
      </c>
      <c r="F2073" s="5">
        <v>80</v>
      </c>
      <c r="G2073" s="5">
        <v>480</v>
      </c>
    </row>
    <row r="2074" spans="1:7" ht="16.5">
      <c r="A2074" s="5" t="s">
        <v>8136</v>
      </c>
      <c r="B2074" s="10" t="s">
        <v>8137</v>
      </c>
      <c r="C2074" s="5" t="s">
        <v>2040</v>
      </c>
      <c r="D2074" s="5" t="s">
        <v>8121</v>
      </c>
      <c r="E2074" s="5" t="s">
        <v>7848</v>
      </c>
      <c r="F2074" s="5">
        <v>60</v>
      </c>
      <c r="G2074" s="5">
        <v>360</v>
      </c>
    </row>
    <row r="2075" spans="1:7" ht="16.5">
      <c r="A2075" s="5" t="s">
        <v>8138</v>
      </c>
      <c r="B2075" s="10" t="s">
        <v>8139</v>
      </c>
      <c r="C2075" s="5" t="s">
        <v>2041</v>
      </c>
      <c r="D2075" s="5" t="s">
        <v>8121</v>
      </c>
      <c r="E2075" s="5" t="s">
        <v>7848</v>
      </c>
      <c r="F2075" s="5">
        <v>80</v>
      </c>
      <c r="G2075" s="5">
        <v>480</v>
      </c>
    </row>
    <row r="2076" spans="1:7" ht="16.5">
      <c r="A2076" s="5" t="s">
        <v>8140</v>
      </c>
      <c r="B2076" s="10" t="s">
        <v>8141</v>
      </c>
      <c r="C2076" s="5" t="s">
        <v>2042</v>
      </c>
      <c r="D2076" s="5" t="s">
        <v>8121</v>
      </c>
      <c r="E2076" s="5" t="s">
        <v>7848</v>
      </c>
      <c r="F2076" s="5">
        <v>80</v>
      </c>
      <c r="G2076" s="5">
        <v>480</v>
      </c>
    </row>
    <row r="2077" spans="1:7" ht="16.5">
      <c r="A2077" s="5" t="s">
        <v>8142</v>
      </c>
      <c r="B2077" s="10" t="s">
        <v>8143</v>
      </c>
      <c r="C2077" s="5" t="s">
        <v>2043</v>
      </c>
      <c r="D2077" s="5" t="s">
        <v>2236</v>
      </c>
      <c r="E2077" s="5" t="s">
        <v>6568</v>
      </c>
      <c r="F2077" s="5">
        <v>68</v>
      </c>
      <c r="G2077" s="5">
        <v>408</v>
      </c>
    </row>
    <row r="2078" spans="1:7" ht="16.5">
      <c r="A2078" s="5" t="s">
        <v>8144</v>
      </c>
      <c r="B2078" s="10" t="s">
        <v>8145</v>
      </c>
      <c r="C2078" s="5" t="s">
        <v>2044</v>
      </c>
      <c r="D2078" s="5" t="s">
        <v>3297</v>
      </c>
      <c r="E2078" s="5" t="s">
        <v>6568</v>
      </c>
      <c r="F2078" s="5">
        <v>115</v>
      </c>
      <c r="G2078" s="5">
        <v>690</v>
      </c>
    </row>
    <row r="2079" spans="1:7" ht="16.5">
      <c r="A2079" s="5" t="s">
        <v>8146</v>
      </c>
      <c r="B2079" s="10" t="s">
        <v>8147</v>
      </c>
      <c r="C2079" s="5" t="s">
        <v>2045</v>
      </c>
      <c r="D2079" s="5" t="s">
        <v>3297</v>
      </c>
      <c r="E2079" s="5" t="s">
        <v>6568</v>
      </c>
      <c r="F2079" s="5">
        <v>68</v>
      </c>
      <c r="G2079" s="5">
        <v>408</v>
      </c>
    </row>
    <row r="2080" spans="1:7" ht="16.5">
      <c r="A2080" s="5" t="s">
        <v>8148</v>
      </c>
      <c r="B2080" s="10" t="s">
        <v>8149</v>
      </c>
      <c r="C2080" s="5" t="s">
        <v>2046</v>
      </c>
      <c r="D2080" s="5" t="s">
        <v>3297</v>
      </c>
      <c r="E2080" s="5" t="s">
        <v>6568</v>
      </c>
      <c r="F2080" s="5">
        <v>38</v>
      </c>
      <c r="G2080" s="5">
        <v>228</v>
      </c>
    </row>
    <row r="2081" spans="1:7" ht="16.5">
      <c r="A2081" s="5" t="s">
        <v>8150</v>
      </c>
      <c r="B2081" s="10" t="s">
        <v>8151</v>
      </c>
      <c r="C2081" s="5" t="s">
        <v>2047</v>
      </c>
      <c r="D2081" s="5" t="s">
        <v>3297</v>
      </c>
      <c r="E2081" s="5" t="s">
        <v>6568</v>
      </c>
      <c r="F2081" s="5">
        <v>30</v>
      </c>
      <c r="G2081" s="5">
        <v>180</v>
      </c>
    </row>
    <row r="2082" spans="1:7" ht="16.5">
      <c r="A2082" s="5" t="s">
        <v>8152</v>
      </c>
      <c r="B2082" s="10" t="s">
        <v>8153</v>
      </c>
      <c r="C2082" s="5" t="s">
        <v>2048</v>
      </c>
      <c r="D2082" s="5" t="s">
        <v>3297</v>
      </c>
      <c r="E2082" s="5" t="s">
        <v>6568</v>
      </c>
      <c r="F2082" s="5">
        <v>23</v>
      </c>
      <c r="G2082" s="5">
        <v>138</v>
      </c>
    </row>
    <row r="2083" spans="1:7" ht="16.5">
      <c r="A2083" s="5" t="s">
        <v>8154</v>
      </c>
      <c r="B2083" s="10" t="s">
        <v>8155</v>
      </c>
      <c r="C2083" s="5" t="s">
        <v>2049</v>
      </c>
      <c r="D2083" s="5" t="s">
        <v>3297</v>
      </c>
      <c r="E2083" s="5" t="s">
        <v>6568</v>
      </c>
      <c r="F2083" s="5">
        <v>36</v>
      </c>
      <c r="G2083" s="5">
        <v>216</v>
      </c>
    </row>
    <row r="2084" spans="1:7" ht="16.5">
      <c r="A2084" s="5" t="s">
        <v>8156</v>
      </c>
      <c r="B2084" s="10" t="s">
        <v>8157</v>
      </c>
      <c r="C2084" s="5" t="s">
        <v>2050</v>
      </c>
      <c r="D2084" s="5" t="s">
        <v>8158</v>
      </c>
      <c r="E2084" s="5" t="s">
        <v>8159</v>
      </c>
      <c r="F2084" s="5">
        <v>24</v>
      </c>
      <c r="G2084" s="5">
        <v>144</v>
      </c>
    </row>
    <row r="2085" spans="1:7" ht="16.5">
      <c r="A2085" s="5" t="s">
        <v>8160</v>
      </c>
      <c r="B2085" s="10" t="s">
        <v>8161</v>
      </c>
      <c r="C2085" s="5" t="s">
        <v>2051</v>
      </c>
      <c r="D2085" s="5" t="s">
        <v>8162</v>
      </c>
      <c r="E2085" s="5" t="s">
        <v>8159</v>
      </c>
      <c r="F2085" s="5">
        <v>40</v>
      </c>
      <c r="G2085" s="5">
        <v>240</v>
      </c>
    </row>
    <row r="2086" spans="1:7" ht="16.5">
      <c r="A2086" s="5" t="s">
        <v>8163</v>
      </c>
      <c r="B2086" s="10" t="s">
        <v>8164</v>
      </c>
      <c r="C2086" s="5" t="s">
        <v>2052</v>
      </c>
      <c r="D2086" s="5" t="s">
        <v>8165</v>
      </c>
      <c r="E2086" s="5" t="s">
        <v>8159</v>
      </c>
      <c r="F2086" s="5">
        <v>32</v>
      </c>
      <c r="G2086" s="5">
        <v>192</v>
      </c>
    </row>
    <row r="2087" spans="1:7" ht="16.5">
      <c r="A2087" s="5" t="s">
        <v>8166</v>
      </c>
      <c r="B2087" s="10" t="s">
        <v>8167</v>
      </c>
      <c r="C2087" s="5" t="s">
        <v>2053</v>
      </c>
      <c r="D2087" s="5" t="s">
        <v>8168</v>
      </c>
      <c r="E2087" s="5" t="s">
        <v>8159</v>
      </c>
      <c r="F2087" s="5">
        <v>23</v>
      </c>
      <c r="G2087" s="5">
        <v>138</v>
      </c>
    </row>
    <row r="2088" spans="1:7" ht="16.5">
      <c r="A2088" s="5" t="s">
        <v>8169</v>
      </c>
      <c r="B2088" s="10" t="s">
        <v>8170</v>
      </c>
      <c r="C2088" s="5" t="s">
        <v>2054</v>
      </c>
      <c r="D2088" s="5" t="s">
        <v>2531</v>
      </c>
      <c r="E2088" s="5" t="s">
        <v>8159</v>
      </c>
      <c r="F2088" s="5">
        <v>24</v>
      </c>
      <c r="G2088" s="5">
        <v>144</v>
      </c>
    </row>
    <row r="2089" spans="1:7" ht="16.5">
      <c r="A2089" s="5" t="s">
        <v>8171</v>
      </c>
      <c r="B2089" s="10" t="s">
        <v>8172</v>
      </c>
      <c r="C2089" s="5" t="s">
        <v>2055</v>
      </c>
      <c r="D2089" s="5" t="s">
        <v>2926</v>
      </c>
      <c r="E2089" s="5" t="s">
        <v>8159</v>
      </c>
      <c r="F2089" s="5">
        <v>22</v>
      </c>
      <c r="G2089" s="5">
        <v>132</v>
      </c>
    </row>
    <row r="2090" spans="1:7" ht="16.5">
      <c r="A2090" s="5" t="s">
        <v>8173</v>
      </c>
      <c r="B2090" s="10" t="s">
        <v>8174</v>
      </c>
      <c r="C2090" s="5" t="s">
        <v>8175</v>
      </c>
      <c r="D2090" s="5" t="s">
        <v>8176</v>
      </c>
      <c r="E2090" s="5" t="s">
        <v>8159</v>
      </c>
      <c r="F2090" s="5">
        <v>22</v>
      </c>
      <c r="G2090" s="5">
        <v>132</v>
      </c>
    </row>
    <row r="2091" spans="1:7" ht="16.5">
      <c r="A2091" s="5" t="s">
        <v>8177</v>
      </c>
      <c r="B2091" s="10" t="s">
        <v>8178</v>
      </c>
      <c r="C2091" s="5" t="s">
        <v>2056</v>
      </c>
      <c r="D2091" s="5" t="s">
        <v>8179</v>
      </c>
      <c r="E2091" s="5" t="s">
        <v>8159</v>
      </c>
      <c r="F2091" s="5">
        <v>28</v>
      </c>
      <c r="G2091" s="5">
        <v>168</v>
      </c>
    </row>
    <row r="2092" spans="1:7" ht="16.5">
      <c r="A2092" s="5" t="s">
        <v>8180</v>
      </c>
      <c r="B2092" s="10" t="s">
        <v>8181</v>
      </c>
      <c r="C2092" s="5" t="s">
        <v>2057</v>
      </c>
      <c r="D2092" s="5" t="s">
        <v>8182</v>
      </c>
      <c r="E2092" s="5" t="s">
        <v>8159</v>
      </c>
      <c r="F2092" s="5">
        <v>23</v>
      </c>
      <c r="G2092" s="5">
        <v>138</v>
      </c>
    </row>
    <row r="2093" spans="1:7" ht="16.5">
      <c r="A2093" s="5" t="s">
        <v>8183</v>
      </c>
      <c r="B2093" s="10" t="s">
        <v>8184</v>
      </c>
      <c r="C2093" s="5" t="s">
        <v>2058</v>
      </c>
      <c r="D2093" s="5" t="s">
        <v>8185</v>
      </c>
      <c r="E2093" s="5" t="s">
        <v>8159</v>
      </c>
      <c r="F2093" s="5">
        <v>28</v>
      </c>
      <c r="G2093" s="5">
        <v>168</v>
      </c>
    </row>
    <row r="2094" spans="1:7" ht="16.5">
      <c r="A2094" s="5" t="s">
        <v>8186</v>
      </c>
      <c r="B2094" s="10" t="s">
        <v>8187</v>
      </c>
      <c r="C2094" s="5" t="s">
        <v>2059</v>
      </c>
      <c r="D2094" s="5" t="s">
        <v>8188</v>
      </c>
      <c r="E2094" s="5" t="s">
        <v>8159</v>
      </c>
      <c r="F2094" s="5">
        <v>22</v>
      </c>
      <c r="G2094" s="5">
        <v>132</v>
      </c>
    </row>
    <row r="2095" spans="1:7" ht="16.5">
      <c r="A2095" s="5" t="s">
        <v>8189</v>
      </c>
      <c r="B2095" s="10" t="s">
        <v>8190</v>
      </c>
      <c r="C2095" s="5" t="s">
        <v>2060</v>
      </c>
      <c r="D2095" s="5" t="s">
        <v>8191</v>
      </c>
      <c r="E2095" s="5" t="s">
        <v>8159</v>
      </c>
      <c r="F2095" s="5">
        <v>22</v>
      </c>
      <c r="G2095" s="5">
        <v>132</v>
      </c>
    </row>
    <row r="2096" spans="1:7" ht="16.5">
      <c r="A2096" s="5" t="s">
        <v>8192</v>
      </c>
      <c r="B2096" s="10" t="s">
        <v>8193</v>
      </c>
      <c r="C2096" s="5" t="s">
        <v>2061</v>
      </c>
      <c r="D2096" s="5" t="s">
        <v>8194</v>
      </c>
      <c r="E2096" s="5" t="s">
        <v>8159</v>
      </c>
      <c r="F2096" s="5">
        <v>22</v>
      </c>
      <c r="G2096" s="5">
        <v>132</v>
      </c>
    </row>
    <row r="2097" spans="1:7" ht="16.5">
      <c r="A2097" s="5" t="s">
        <v>8195</v>
      </c>
      <c r="B2097" s="10" t="s">
        <v>8196</v>
      </c>
      <c r="C2097" s="5" t="s">
        <v>2062</v>
      </c>
      <c r="D2097" s="5" t="s">
        <v>8197</v>
      </c>
      <c r="E2097" s="5" t="s">
        <v>8159</v>
      </c>
      <c r="F2097" s="5">
        <v>22</v>
      </c>
      <c r="G2097" s="5">
        <v>132</v>
      </c>
    </row>
    <row r="2098" spans="1:7" ht="16.5">
      <c r="A2098" s="5" t="s">
        <v>8198</v>
      </c>
      <c r="B2098" s="10" t="s">
        <v>8199</v>
      </c>
      <c r="C2098" s="5" t="s">
        <v>2063</v>
      </c>
      <c r="D2098" s="5" t="s">
        <v>8200</v>
      </c>
      <c r="E2098" s="5" t="s">
        <v>8159</v>
      </c>
      <c r="F2098" s="5">
        <v>29</v>
      </c>
      <c r="G2098" s="5">
        <v>174</v>
      </c>
    </row>
    <row r="2099" spans="1:7" ht="16.5">
      <c r="A2099" s="5" t="s">
        <v>8201</v>
      </c>
      <c r="B2099" s="10" t="s">
        <v>8202</v>
      </c>
      <c r="C2099" s="5" t="s">
        <v>2064</v>
      </c>
      <c r="D2099" s="5" t="s">
        <v>8203</v>
      </c>
      <c r="E2099" s="5" t="s">
        <v>8159</v>
      </c>
      <c r="F2099" s="5">
        <v>28</v>
      </c>
      <c r="G2099" s="5">
        <v>168</v>
      </c>
    </row>
    <row r="2100" spans="1:7" ht="16.5">
      <c r="A2100" s="5" t="s">
        <v>8204</v>
      </c>
      <c r="B2100" s="10" t="s">
        <v>8205</v>
      </c>
      <c r="C2100" s="5" t="s">
        <v>2065</v>
      </c>
      <c r="D2100" s="5" t="s">
        <v>8206</v>
      </c>
      <c r="E2100" s="5" t="s">
        <v>8159</v>
      </c>
      <c r="F2100" s="5">
        <v>26.8</v>
      </c>
      <c r="G2100" s="5">
        <v>161</v>
      </c>
    </row>
    <row r="2101" spans="1:7" ht="16.5">
      <c r="A2101" s="5" t="s">
        <v>8207</v>
      </c>
      <c r="B2101" s="10" t="s">
        <v>8208</v>
      </c>
      <c r="C2101" s="5" t="s">
        <v>2066</v>
      </c>
      <c r="D2101" s="5" t="s">
        <v>8206</v>
      </c>
      <c r="E2101" s="5" t="s">
        <v>8159</v>
      </c>
      <c r="F2101" s="5">
        <v>26.8</v>
      </c>
      <c r="G2101" s="5">
        <v>161</v>
      </c>
    </row>
    <row r="2102" spans="1:7" ht="16.5">
      <c r="A2102" s="5" t="s">
        <v>8209</v>
      </c>
      <c r="B2102" s="10" t="s">
        <v>8210</v>
      </c>
      <c r="C2102" s="5" t="s">
        <v>2067</v>
      </c>
      <c r="D2102" s="5" t="s">
        <v>8211</v>
      </c>
      <c r="E2102" s="5" t="s">
        <v>8212</v>
      </c>
      <c r="F2102" s="5">
        <v>18</v>
      </c>
      <c r="G2102" s="5">
        <v>108</v>
      </c>
    </row>
    <row r="2103" spans="1:7" ht="16.5">
      <c r="A2103" s="5" t="s">
        <v>8213</v>
      </c>
      <c r="B2103" s="10" t="s">
        <v>8214</v>
      </c>
      <c r="C2103" s="5" t="s">
        <v>2068</v>
      </c>
      <c r="D2103" s="5" t="s">
        <v>8215</v>
      </c>
      <c r="E2103" s="5" t="s">
        <v>8212</v>
      </c>
      <c r="F2103" s="5">
        <v>35</v>
      </c>
      <c r="G2103" s="5">
        <v>210</v>
      </c>
    </row>
    <row r="2104" spans="1:7" ht="16.5">
      <c r="A2104" s="5" t="s">
        <v>8216</v>
      </c>
      <c r="B2104" s="10" t="s">
        <v>8217</v>
      </c>
      <c r="C2104" s="5" t="s">
        <v>2069</v>
      </c>
      <c r="D2104" s="5" t="s">
        <v>8218</v>
      </c>
      <c r="E2104" s="5" t="s">
        <v>7892</v>
      </c>
      <c r="F2104" s="5">
        <v>15</v>
      </c>
      <c r="G2104" s="5">
        <v>90</v>
      </c>
    </row>
    <row r="2105" spans="1:7" ht="16.5">
      <c r="A2105" s="5" t="s">
        <v>8219</v>
      </c>
      <c r="B2105" s="10" t="s">
        <v>8220</v>
      </c>
      <c r="C2105" s="5" t="s">
        <v>2070</v>
      </c>
      <c r="D2105" s="5" t="s">
        <v>7902</v>
      </c>
      <c r="E2105" s="5" t="s">
        <v>7892</v>
      </c>
      <c r="F2105" s="5">
        <v>12.8</v>
      </c>
      <c r="G2105" s="5">
        <v>77</v>
      </c>
    </row>
    <row r="2106" spans="1:7" ht="16.5">
      <c r="A2106" s="5" t="s">
        <v>8221</v>
      </c>
      <c r="B2106" s="10" t="s">
        <v>8222</v>
      </c>
      <c r="C2106" s="5" t="s">
        <v>2071</v>
      </c>
      <c r="D2106" s="5" t="s">
        <v>7902</v>
      </c>
      <c r="E2106" s="5" t="s">
        <v>7892</v>
      </c>
      <c r="F2106" s="5">
        <v>12.8</v>
      </c>
      <c r="G2106" s="5">
        <v>77</v>
      </c>
    </row>
    <row r="2107" spans="1:7" ht="16.5">
      <c r="A2107" s="5" t="s">
        <v>8223</v>
      </c>
      <c r="B2107" s="10" t="s">
        <v>8224</v>
      </c>
      <c r="C2107" s="5" t="s">
        <v>2072</v>
      </c>
      <c r="D2107" s="5" t="s">
        <v>7902</v>
      </c>
      <c r="E2107" s="5" t="s">
        <v>7892</v>
      </c>
      <c r="F2107" s="5">
        <v>12.8</v>
      </c>
      <c r="G2107" s="5">
        <v>77</v>
      </c>
    </row>
    <row r="2108" spans="1:7" ht="16.5">
      <c r="A2108" s="5" t="s">
        <v>8225</v>
      </c>
      <c r="B2108" s="10" t="s">
        <v>8226</v>
      </c>
      <c r="C2108" s="5" t="s">
        <v>2073</v>
      </c>
      <c r="D2108" s="5" t="s">
        <v>7902</v>
      </c>
      <c r="E2108" s="5" t="s">
        <v>7892</v>
      </c>
      <c r="F2108" s="5">
        <v>12.8</v>
      </c>
      <c r="G2108" s="5">
        <v>77</v>
      </c>
    </row>
    <row r="2109" spans="1:7" ht="16.5">
      <c r="A2109" s="5" t="s">
        <v>8227</v>
      </c>
      <c r="B2109" s="10" t="s">
        <v>8228</v>
      </c>
      <c r="C2109" s="5" t="s">
        <v>2074</v>
      </c>
      <c r="D2109" s="5" t="s">
        <v>8229</v>
      </c>
      <c r="E2109" s="5" t="s">
        <v>8230</v>
      </c>
      <c r="F2109" s="5">
        <v>29.8</v>
      </c>
      <c r="G2109" s="5">
        <v>179</v>
      </c>
    </row>
    <row r="2110" spans="1:7" ht="16.5">
      <c r="A2110" s="5" t="s">
        <v>8231</v>
      </c>
      <c r="B2110" s="10" t="s">
        <v>8232</v>
      </c>
      <c r="C2110" s="5" t="s">
        <v>2075</v>
      </c>
      <c r="D2110" s="5" t="s">
        <v>8093</v>
      </c>
      <c r="E2110" s="5" t="s">
        <v>7602</v>
      </c>
      <c r="F2110" s="5">
        <v>85</v>
      </c>
      <c r="G2110" s="5">
        <v>510</v>
      </c>
    </row>
    <row r="2111" spans="1:7" ht="16.5">
      <c r="A2111" s="5" t="s">
        <v>8233</v>
      </c>
      <c r="B2111" s="10" t="s">
        <v>2236</v>
      </c>
      <c r="C2111" s="5" t="s">
        <v>2076</v>
      </c>
      <c r="D2111" s="5" t="s">
        <v>2236</v>
      </c>
      <c r="E2111" s="5" t="s">
        <v>7602</v>
      </c>
      <c r="F2111" s="5">
        <v>105</v>
      </c>
      <c r="G2111" s="5">
        <v>630</v>
      </c>
    </row>
    <row r="2112" spans="1:7" ht="16.5">
      <c r="A2112" s="5" t="s">
        <v>8234</v>
      </c>
      <c r="B2112" s="10" t="s">
        <v>8235</v>
      </c>
      <c r="C2112" s="5" t="s">
        <v>2077</v>
      </c>
      <c r="D2112" s="5" t="s">
        <v>8236</v>
      </c>
      <c r="E2112" s="5" t="s">
        <v>7670</v>
      </c>
      <c r="F2112" s="5">
        <v>98</v>
      </c>
      <c r="G2112" s="5">
        <v>588</v>
      </c>
    </row>
    <row r="2113" spans="1:7" ht="16.5">
      <c r="A2113" s="5" t="s">
        <v>8237</v>
      </c>
      <c r="B2113" s="10" t="s">
        <v>8238</v>
      </c>
      <c r="C2113" s="5" t="s">
        <v>2078</v>
      </c>
      <c r="D2113" s="5" t="s">
        <v>8239</v>
      </c>
      <c r="E2113" s="5" t="s">
        <v>7670</v>
      </c>
      <c r="F2113" s="5">
        <v>50</v>
      </c>
      <c r="G2113" s="5">
        <v>300</v>
      </c>
    </row>
    <row r="2114" spans="1:7" ht="16.5">
      <c r="A2114" s="5" t="s">
        <v>8240</v>
      </c>
      <c r="B2114" s="10" t="s">
        <v>8241</v>
      </c>
      <c r="C2114" s="5" t="s">
        <v>8242</v>
      </c>
      <c r="D2114" s="5" t="s">
        <v>8243</v>
      </c>
      <c r="E2114" s="5" t="s">
        <v>7670</v>
      </c>
      <c r="F2114" s="5">
        <v>78</v>
      </c>
      <c r="G2114" s="5">
        <v>468</v>
      </c>
    </row>
    <row r="2115" spans="1:7" ht="16.5">
      <c r="A2115" s="5" t="s">
        <v>8244</v>
      </c>
      <c r="B2115" s="10" t="s">
        <v>8245</v>
      </c>
      <c r="C2115" s="5" t="s">
        <v>2079</v>
      </c>
      <c r="D2115" s="5" t="s">
        <v>8246</v>
      </c>
      <c r="E2115" s="5" t="s">
        <v>7670</v>
      </c>
      <c r="F2115" s="5">
        <v>50</v>
      </c>
      <c r="G2115" s="5">
        <v>300</v>
      </c>
    </row>
    <row r="2116" spans="1:7" ht="16.5">
      <c r="A2116" s="5" t="s">
        <v>8247</v>
      </c>
      <c r="B2116" s="10" t="s">
        <v>8248</v>
      </c>
      <c r="C2116" s="5" t="s">
        <v>2080</v>
      </c>
      <c r="D2116" s="5" t="s">
        <v>8249</v>
      </c>
      <c r="E2116" s="5" t="s">
        <v>6798</v>
      </c>
      <c r="F2116" s="5">
        <v>32</v>
      </c>
      <c r="G2116" s="5">
        <v>192</v>
      </c>
    </row>
    <row r="2117" spans="1:7" ht="16.5">
      <c r="A2117" s="5" t="s">
        <v>8250</v>
      </c>
      <c r="B2117" s="10" t="s">
        <v>8251</v>
      </c>
      <c r="C2117" s="5" t="s">
        <v>2081</v>
      </c>
      <c r="D2117" s="5" t="s">
        <v>8252</v>
      </c>
      <c r="E2117" s="5" t="s">
        <v>8253</v>
      </c>
      <c r="F2117" s="5">
        <v>28</v>
      </c>
      <c r="G2117" s="5">
        <v>168</v>
      </c>
    </row>
    <row r="2118" spans="1:7" ht="16.5">
      <c r="A2118" s="5" t="s">
        <v>8254</v>
      </c>
      <c r="B2118" s="10" t="s">
        <v>8255</v>
      </c>
      <c r="C2118" s="5" t="s">
        <v>2082</v>
      </c>
      <c r="D2118" s="5" t="s">
        <v>7704</v>
      </c>
      <c r="E2118" s="5" t="s">
        <v>7705</v>
      </c>
      <c r="F2118" s="5">
        <v>48</v>
      </c>
      <c r="G2118" s="5">
        <v>288</v>
      </c>
    </row>
    <row r="2119" spans="1:7" ht="16.5">
      <c r="A2119" s="5" t="s">
        <v>8256</v>
      </c>
      <c r="B2119" s="10" t="s">
        <v>8257</v>
      </c>
      <c r="C2119" s="5" t="s">
        <v>2083</v>
      </c>
      <c r="D2119" s="5" t="s">
        <v>8258</v>
      </c>
      <c r="E2119" s="5" t="s">
        <v>8259</v>
      </c>
      <c r="F2119" s="5">
        <v>40</v>
      </c>
      <c r="G2119" s="5">
        <v>240</v>
      </c>
    </row>
    <row r="2120" spans="1:7" ht="16.5">
      <c r="A2120" s="5" t="s">
        <v>8260</v>
      </c>
      <c r="B2120" s="10" t="s">
        <v>8261</v>
      </c>
      <c r="C2120" s="5" t="s">
        <v>2084</v>
      </c>
      <c r="D2120" s="5" t="s">
        <v>8262</v>
      </c>
      <c r="E2120" s="5" t="s">
        <v>8259</v>
      </c>
      <c r="F2120" s="5">
        <v>25</v>
      </c>
      <c r="G2120" s="5">
        <v>150</v>
      </c>
    </row>
    <row r="2121" spans="1:7" ht="16.5">
      <c r="A2121" s="5" t="s">
        <v>8263</v>
      </c>
      <c r="B2121" s="10" t="s">
        <v>8264</v>
      </c>
      <c r="C2121" s="5" t="s">
        <v>2085</v>
      </c>
      <c r="D2121" s="5" t="s">
        <v>8265</v>
      </c>
      <c r="E2121" s="5" t="s">
        <v>8259</v>
      </c>
      <c r="F2121" s="5">
        <v>36</v>
      </c>
      <c r="G2121" s="5">
        <v>216</v>
      </c>
    </row>
    <row r="2122" spans="1:7" ht="16.5">
      <c r="A2122" s="5" t="s">
        <v>8266</v>
      </c>
      <c r="B2122" s="10" t="s">
        <v>8267</v>
      </c>
      <c r="C2122" s="5" t="s">
        <v>2086</v>
      </c>
      <c r="D2122" s="5" t="s">
        <v>8268</v>
      </c>
      <c r="E2122" s="5" t="s">
        <v>8259</v>
      </c>
      <c r="F2122" s="5">
        <v>78</v>
      </c>
      <c r="G2122" s="5">
        <v>468</v>
      </c>
    </row>
    <row r="2123" spans="1:7" ht="16.5">
      <c r="A2123" s="5" t="s">
        <v>8269</v>
      </c>
      <c r="B2123" s="10" t="s">
        <v>8270</v>
      </c>
      <c r="C2123" s="5" t="s">
        <v>2087</v>
      </c>
      <c r="D2123" s="5" t="s">
        <v>8271</v>
      </c>
      <c r="E2123" s="5" t="s">
        <v>6972</v>
      </c>
      <c r="F2123" s="5">
        <v>49</v>
      </c>
      <c r="G2123" s="5">
        <v>294</v>
      </c>
    </row>
    <row r="2124" spans="1:7" ht="16.5">
      <c r="A2124" s="5" t="s">
        <v>8272</v>
      </c>
      <c r="B2124" s="10" t="s">
        <v>8273</v>
      </c>
      <c r="C2124" s="5" t="s">
        <v>2088</v>
      </c>
      <c r="D2124" s="5" t="s">
        <v>8274</v>
      </c>
      <c r="E2124" s="5" t="s">
        <v>7874</v>
      </c>
      <c r="F2124" s="5">
        <v>38</v>
      </c>
      <c r="G2124" s="5">
        <v>228</v>
      </c>
    </row>
    <row r="2125" spans="1:7" ht="16.5">
      <c r="A2125" s="5" t="s">
        <v>8275</v>
      </c>
      <c r="B2125" s="10" t="s">
        <v>8276</v>
      </c>
      <c r="C2125" s="5" t="s">
        <v>2089</v>
      </c>
      <c r="D2125" s="5" t="s">
        <v>8277</v>
      </c>
      <c r="E2125" s="5" t="s">
        <v>7874</v>
      </c>
      <c r="F2125" s="5">
        <v>26.8</v>
      </c>
      <c r="G2125" s="5">
        <v>161</v>
      </c>
    </row>
    <row r="2126" spans="1:7" ht="16.5">
      <c r="A2126" s="5" t="s">
        <v>8278</v>
      </c>
      <c r="B2126" s="10" t="s">
        <v>8279</v>
      </c>
      <c r="C2126" s="5" t="s">
        <v>2090</v>
      </c>
      <c r="D2126" s="5" t="s">
        <v>8280</v>
      </c>
      <c r="E2126" s="5" t="s">
        <v>7709</v>
      </c>
      <c r="F2126" s="5">
        <v>79.8</v>
      </c>
      <c r="G2126" s="5">
        <v>479</v>
      </c>
    </row>
    <row r="2127" spans="1:7" ht="16.5">
      <c r="A2127" s="5" t="s">
        <v>8281</v>
      </c>
      <c r="B2127" s="10" t="s">
        <v>8282</v>
      </c>
      <c r="C2127" s="5" t="s">
        <v>2091</v>
      </c>
      <c r="D2127" s="5" t="s">
        <v>8283</v>
      </c>
      <c r="E2127" s="5" t="s">
        <v>7709</v>
      </c>
      <c r="F2127" s="5">
        <v>60.8</v>
      </c>
      <c r="G2127" s="5">
        <v>365</v>
      </c>
    </row>
    <row r="2128" spans="1:7" ht="16.5">
      <c r="A2128" s="5" t="s">
        <v>8284</v>
      </c>
      <c r="B2128" s="10" t="s">
        <v>8285</v>
      </c>
      <c r="C2128" s="5" t="s">
        <v>2092</v>
      </c>
      <c r="D2128" s="5" t="s">
        <v>8286</v>
      </c>
      <c r="E2128" s="5" t="s">
        <v>7709</v>
      </c>
      <c r="F2128" s="5">
        <v>29.8</v>
      </c>
      <c r="G2128" s="5">
        <v>179</v>
      </c>
    </row>
    <row r="2129" spans="1:7" ht="16.5">
      <c r="A2129" s="5" t="s">
        <v>8287</v>
      </c>
      <c r="B2129" s="10" t="s">
        <v>8288</v>
      </c>
      <c r="C2129" s="5" t="s">
        <v>2093</v>
      </c>
      <c r="D2129" s="5" t="s">
        <v>8289</v>
      </c>
      <c r="E2129" s="5" t="s">
        <v>7709</v>
      </c>
      <c r="F2129" s="5">
        <v>30</v>
      </c>
      <c r="G2129" s="5">
        <v>180</v>
      </c>
    </row>
    <row r="2130" spans="1:7" ht="16.5">
      <c r="A2130" s="5" t="s">
        <v>8290</v>
      </c>
      <c r="B2130" s="10" t="s">
        <v>8291</v>
      </c>
      <c r="C2130" s="5" t="s">
        <v>2094</v>
      </c>
      <c r="D2130" s="5" t="s">
        <v>8292</v>
      </c>
      <c r="E2130" s="5" t="s">
        <v>7709</v>
      </c>
      <c r="F2130" s="5">
        <v>32</v>
      </c>
      <c r="G2130" s="5">
        <v>192</v>
      </c>
    </row>
    <row r="2131" spans="1:7" ht="16.5">
      <c r="A2131" s="5" t="s">
        <v>8293</v>
      </c>
      <c r="B2131" s="10" t="s">
        <v>8294</v>
      </c>
      <c r="C2131" s="5" t="s">
        <v>2095</v>
      </c>
      <c r="D2131" s="5" t="s">
        <v>8295</v>
      </c>
      <c r="E2131" s="5" t="s">
        <v>7709</v>
      </c>
      <c r="F2131" s="5">
        <v>56</v>
      </c>
      <c r="G2131" s="5">
        <v>336</v>
      </c>
    </row>
    <row r="2132" spans="1:7" ht="16.5">
      <c r="A2132" s="5" t="s">
        <v>8296</v>
      </c>
      <c r="B2132" s="10" t="s">
        <v>8297</v>
      </c>
      <c r="C2132" s="5" t="s">
        <v>2096</v>
      </c>
      <c r="D2132" s="5" t="s">
        <v>2854</v>
      </c>
      <c r="E2132" s="5" t="s">
        <v>7709</v>
      </c>
      <c r="F2132" s="5">
        <v>29.8</v>
      </c>
      <c r="G2132" s="5">
        <v>179</v>
      </c>
    </row>
    <row r="2133" spans="1:7" ht="16.5">
      <c r="A2133" s="5" t="s">
        <v>8298</v>
      </c>
      <c r="B2133" s="10" t="s">
        <v>8299</v>
      </c>
      <c r="C2133" s="5" t="s">
        <v>2097</v>
      </c>
      <c r="D2133" s="5" t="s">
        <v>8300</v>
      </c>
      <c r="E2133" s="5" t="s">
        <v>7709</v>
      </c>
      <c r="F2133" s="5">
        <v>29.8</v>
      </c>
      <c r="G2133" s="5">
        <v>179</v>
      </c>
    </row>
    <row r="2134" spans="1:7" ht="16.5">
      <c r="A2134" s="5" t="s">
        <v>8301</v>
      </c>
      <c r="B2134" s="10" t="s">
        <v>8302</v>
      </c>
      <c r="C2134" s="5" t="s">
        <v>2098</v>
      </c>
      <c r="D2134" s="5" t="s">
        <v>8303</v>
      </c>
      <c r="E2134" s="5" t="s">
        <v>7709</v>
      </c>
      <c r="F2134" s="5">
        <v>29.8</v>
      </c>
      <c r="G2134" s="5">
        <v>179</v>
      </c>
    </row>
    <row r="2135" spans="1:7" ht="16.5">
      <c r="A2135" s="5" t="s">
        <v>8304</v>
      </c>
      <c r="B2135" s="10" t="s">
        <v>8305</v>
      </c>
      <c r="C2135" s="5" t="s">
        <v>2099</v>
      </c>
      <c r="D2135" s="5" t="s">
        <v>2352</v>
      </c>
      <c r="E2135" s="5" t="s">
        <v>7709</v>
      </c>
      <c r="F2135" s="5">
        <v>29.8</v>
      </c>
      <c r="G2135" s="5">
        <v>179</v>
      </c>
    </row>
    <row r="2136" spans="1:7" ht="16.5">
      <c r="A2136" s="5" t="s">
        <v>8306</v>
      </c>
      <c r="B2136" s="10" t="s">
        <v>8307</v>
      </c>
      <c r="C2136" s="5" t="s">
        <v>2100</v>
      </c>
      <c r="D2136" s="5" t="s">
        <v>8308</v>
      </c>
      <c r="E2136" s="5" t="s">
        <v>7709</v>
      </c>
      <c r="F2136" s="5">
        <v>56</v>
      </c>
      <c r="G2136" s="5">
        <v>336</v>
      </c>
    </row>
    <row r="2137" spans="1:7" ht="16.5">
      <c r="A2137" s="5" t="s">
        <v>8309</v>
      </c>
      <c r="B2137" s="10" t="s">
        <v>8310</v>
      </c>
      <c r="C2137" s="5" t="s">
        <v>2101</v>
      </c>
      <c r="D2137" s="5" t="s">
        <v>8292</v>
      </c>
      <c r="E2137" s="5" t="s">
        <v>7709</v>
      </c>
      <c r="F2137" s="5">
        <v>36</v>
      </c>
      <c r="G2137" s="5">
        <v>216</v>
      </c>
    </row>
    <row r="2138" spans="1:7" ht="16.5">
      <c r="A2138" s="5" t="s">
        <v>8311</v>
      </c>
      <c r="B2138" s="10" t="s">
        <v>8312</v>
      </c>
      <c r="C2138" s="5" t="s">
        <v>2102</v>
      </c>
      <c r="D2138" s="5" t="s">
        <v>8313</v>
      </c>
      <c r="E2138" s="5" t="s">
        <v>7709</v>
      </c>
      <c r="F2138" s="5">
        <v>28</v>
      </c>
      <c r="G2138" s="5">
        <v>168</v>
      </c>
    </row>
    <row r="2139" spans="1:7" ht="16.5">
      <c r="A2139" s="5" t="s">
        <v>8314</v>
      </c>
      <c r="B2139" s="10" t="s">
        <v>8315</v>
      </c>
      <c r="C2139" s="5" t="s">
        <v>2103</v>
      </c>
      <c r="D2139" s="5" t="s">
        <v>8316</v>
      </c>
      <c r="E2139" s="5" t="s">
        <v>7709</v>
      </c>
      <c r="F2139" s="5">
        <v>30</v>
      </c>
      <c r="G2139" s="5">
        <v>180</v>
      </c>
    </row>
    <row r="2140" spans="1:7" ht="16.5">
      <c r="A2140" s="5" t="s">
        <v>8317</v>
      </c>
      <c r="B2140" s="10" t="s">
        <v>8318</v>
      </c>
      <c r="C2140" s="5" t="s">
        <v>2104</v>
      </c>
      <c r="D2140" s="5" t="s">
        <v>8316</v>
      </c>
      <c r="E2140" s="5" t="s">
        <v>7709</v>
      </c>
      <c r="F2140" s="5">
        <v>30</v>
      </c>
      <c r="G2140" s="5">
        <v>180</v>
      </c>
    </row>
    <row r="2141" spans="1:7" ht="16.5">
      <c r="A2141" s="5" t="s">
        <v>8319</v>
      </c>
      <c r="B2141" s="10" t="s">
        <v>8320</v>
      </c>
      <c r="C2141" s="5" t="s">
        <v>2105</v>
      </c>
      <c r="D2141" s="5" t="s">
        <v>8321</v>
      </c>
      <c r="E2141" s="5" t="s">
        <v>7709</v>
      </c>
      <c r="F2141" s="5">
        <v>28.5</v>
      </c>
      <c r="G2141" s="5">
        <v>171</v>
      </c>
    </row>
    <row r="2142" spans="1:7" ht="16.5">
      <c r="A2142" s="5" t="s">
        <v>8322</v>
      </c>
      <c r="B2142" s="10" t="s">
        <v>8323</v>
      </c>
      <c r="C2142" s="5" t="s">
        <v>2106</v>
      </c>
      <c r="D2142" s="5" t="s">
        <v>8324</v>
      </c>
      <c r="E2142" s="5" t="s">
        <v>7709</v>
      </c>
      <c r="F2142" s="5">
        <v>23.6</v>
      </c>
      <c r="G2142" s="5">
        <v>142</v>
      </c>
    </row>
    <row r="2143" spans="1:7" ht="16.5">
      <c r="A2143" s="5" t="s">
        <v>8325</v>
      </c>
      <c r="B2143" s="10" t="s">
        <v>8326</v>
      </c>
      <c r="C2143" s="5" t="s">
        <v>2107</v>
      </c>
      <c r="D2143" s="5" t="s">
        <v>8327</v>
      </c>
      <c r="E2143" s="5" t="s">
        <v>7709</v>
      </c>
      <c r="F2143" s="5">
        <v>19.8</v>
      </c>
      <c r="G2143" s="5">
        <v>119</v>
      </c>
    </row>
    <row r="2144" spans="1:7" ht="16.5">
      <c r="A2144" s="5" t="s">
        <v>8328</v>
      </c>
      <c r="B2144" s="10" t="s">
        <v>8329</v>
      </c>
      <c r="C2144" s="5" t="s">
        <v>2108</v>
      </c>
      <c r="D2144" s="5" t="s">
        <v>8327</v>
      </c>
      <c r="E2144" s="5" t="s">
        <v>7709</v>
      </c>
      <c r="F2144" s="5">
        <v>19.8</v>
      </c>
      <c r="G2144" s="5">
        <v>119</v>
      </c>
    </row>
    <row r="2145" spans="1:7" ht="16.5">
      <c r="A2145" s="5" t="s">
        <v>8330</v>
      </c>
      <c r="B2145" s="10" t="s">
        <v>8331</v>
      </c>
      <c r="C2145" s="5" t="s">
        <v>2109</v>
      </c>
      <c r="D2145" s="5" t="s">
        <v>8327</v>
      </c>
      <c r="E2145" s="5" t="s">
        <v>7709</v>
      </c>
      <c r="F2145" s="5">
        <v>19.8</v>
      </c>
      <c r="G2145" s="5">
        <v>119</v>
      </c>
    </row>
    <row r="2146" spans="1:7" ht="16.5">
      <c r="A2146" s="5" t="s">
        <v>8332</v>
      </c>
      <c r="B2146" s="10" t="s">
        <v>8333</v>
      </c>
      <c r="C2146" s="5" t="s">
        <v>2110</v>
      </c>
      <c r="D2146" s="5" t="s">
        <v>8327</v>
      </c>
      <c r="E2146" s="5" t="s">
        <v>7709</v>
      </c>
      <c r="F2146" s="5">
        <v>19.8</v>
      </c>
      <c r="G2146" s="5">
        <v>119</v>
      </c>
    </row>
    <row r="2147" spans="1:7" ht="16.5">
      <c r="A2147" s="5" t="s">
        <v>8334</v>
      </c>
      <c r="B2147" s="10" t="s">
        <v>8335</v>
      </c>
      <c r="C2147" s="5" t="s">
        <v>2111</v>
      </c>
      <c r="D2147" s="5" t="s">
        <v>8336</v>
      </c>
      <c r="E2147" s="5" t="s">
        <v>7709</v>
      </c>
      <c r="F2147" s="5">
        <v>33</v>
      </c>
      <c r="G2147" s="5">
        <v>198</v>
      </c>
    </row>
    <row r="2148" spans="1:7" ht="16.5">
      <c r="A2148" s="5" t="s">
        <v>8337</v>
      </c>
      <c r="B2148" s="10" t="s">
        <v>8338</v>
      </c>
      <c r="C2148" s="5" t="s">
        <v>2112</v>
      </c>
      <c r="D2148" s="5" t="s">
        <v>8339</v>
      </c>
      <c r="E2148" s="5" t="s">
        <v>7709</v>
      </c>
      <c r="F2148" s="5">
        <v>36</v>
      </c>
      <c r="G2148" s="5">
        <v>216</v>
      </c>
    </row>
    <row r="2149" spans="1:7" ht="16.5">
      <c r="A2149" s="5" t="s">
        <v>8340</v>
      </c>
      <c r="B2149" s="10" t="s">
        <v>8341</v>
      </c>
      <c r="C2149" s="5" t="s">
        <v>2113</v>
      </c>
      <c r="D2149" s="5" t="s">
        <v>3297</v>
      </c>
      <c r="E2149" s="5" t="s">
        <v>5775</v>
      </c>
      <c r="F2149" s="5">
        <v>188</v>
      </c>
      <c r="G2149" s="5">
        <v>1128</v>
      </c>
    </row>
    <row r="2150" spans="1:7" ht="16.5">
      <c r="A2150" s="5" t="s">
        <v>8342</v>
      </c>
      <c r="B2150" s="10" t="s">
        <v>8343</v>
      </c>
      <c r="C2150" s="5" t="s">
        <v>2114</v>
      </c>
      <c r="D2150" s="5" t="s">
        <v>3297</v>
      </c>
      <c r="E2150" s="5" t="s">
        <v>5775</v>
      </c>
      <c r="F2150" s="5">
        <v>8</v>
      </c>
      <c r="G2150" s="5">
        <v>48</v>
      </c>
    </row>
    <row r="2151" spans="1:7" ht="16.5">
      <c r="A2151" s="5" t="s">
        <v>8344</v>
      </c>
      <c r="B2151" s="10" t="s">
        <v>8345</v>
      </c>
      <c r="C2151" s="5" t="s">
        <v>2115</v>
      </c>
      <c r="D2151" s="5" t="s">
        <v>3297</v>
      </c>
      <c r="E2151" s="5" t="s">
        <v>5775</v>
      </c>
      <c r="F2151" s="5">
        <v>8</v>
      </c>
      <c r="G2151" s="5">
        <v>48</v>
      </c>
    </row>
    <row r="2152" spans="1:7" ht="16.5">
      <c r="A2152" s="5" t="s">
        <v>8346</v>
      </c>
      <c r="B2152" s="10" t="s">
        <v>8347</v>
      </c>
      <c r="C2152" s="5" t="s">
        <v>2116</v>
      </c>
      <c r="D2152" s="5" t="s">
        <v>3297</v>
      </c>
      <c r="E2152" s="5" t="s">
        <v>5775</v>
      </c>
      <c r="F2152" s="5">
        <v>8</v>
      </c>
      <c r="G2152" s="5">
        <v>48</v>
      </c>
    </row>
    <row r="2153" spans="1:7" ht="16.5">
      <c r="A2153" s="5" t="s">
        <v>8348</v>
      </c>
      <c r="B2153" s="10" t="s">
        <v>8349</v>
      </c>
      <c r="C2153" s="5" t="s">
        <v>2117</v>
      </c>
      <c r="D2153" s="5" t="s">
        <v>3297</v>
      </c>
      <c r="E2153" s="5" t="s">
        <v>5775</v>
      </c>
      <c r="F2153" s="5">
        <v>8</v>
      </c>
      <c r="G2153" s="5">
        <v>48</v>
      </c>
    </row>
    <row r="2154" spans="1:7" ht="16.5">
      <c r="A2154" s="5" t="s">
        <v>8350</v>
      </c>
      <c r="B2154" s="10" t="s">
        <v>8351</v>
      </c>
      <c r="C2154" s="5" t="s">
        <v>2118</v>
      </c>
      <c r="D2154" s="5" t="s">
        <v>3297</v>
      </c>
      <c r="E2154" s="5" t="s">
        <v>5775</v>
      </c>
      <c r="F2154" s="5">
        <v>8</v>
      </c>
      <c r="G2154" s="5">
        <v>48</v>
      </c>
    </row>
    <row r="2155" spans="1:7" ht="16.5">
      <c r="A2155" s="5" t="s">
        <v>8352</v>
      </c>
      <c r="B2155" s="10" t="s">
        <v>8353</v>
      </c>
      <c r="C2155" s="5" t="s">
        <v>2119</v>
      </c>
      <c r="D2155" s="5" t="s">
        <v>3297</v>
      </c>
      <c r="E2155" s="5" t="s">
        <v>5775</v>
      </c>
      <c r="F2155" s="5">
        <v>8</v>
      </c>
      <c r="G2155" s="5">
        <v>48</v>
      </c>
    </row>
    <row r="2156" spans="1:7" ht="16.5">
      <c r="A2156" s="5" t="s">
        <v>8354</v>
      </c>
      <c r="B2156" s="10" t="s">
        <v>8355</v>
      </c>
      <c r="C2156" s="5" t="s">
        <v>2120</v>
      </c>
      <c r="D2156" s="5" t="s">
        <v>3297</v>
      </c>
      <c r="E2156" s="5" t="s">
        <v>5775</v>
      </c>
      <c r="F2156" s="5">
        <v>260</v>
      </c>
      <c r="G2156" s="5">
        <v>1560</v>
      </c>
    </row>
    <row r="2157" spans="1:7" ht="16.5">
      <c r="A2157" s="5" t="s">
        <v>8356</v>
      </c>
      <c r="B2157" s="10" t="s">
        <v>8357</v>
      </c>
      <c r="C2157" s="5" t="s">
        <v>2121</v>
      </c>
      <c r="D2157" s="5" t="s">
        <v>3297</v>
      </c>
      <c r="E2157" s="5" t="s">
        <v>5775</v>
      </c>
      <c r="F2157" s="5">
        <v>48</v>
      </c>
      <c r="G2157" s="5">
        <v>288</v>
      </c>
    </row>
    <row r="2158" spans="1:7" ht="16.5">
      <c r="A2158" s="5" t="s">
        <v>8358</v>
      </c>
      <c r="B2158" s="10" t="s">
        <v>8359</v>
      </c>
      <c r="C2158" s="5" t="s">
        <v>2122</v>
      </c>
      <c r="D2158" s="5" t="s">
        <v>8360</v>
      </c>
      <c r="E2158" s="5" t="s">
        <v>7919</v>
      </c>
      <c r="F2158" s="5">
        <v>65</v>
      </c>
      <c r="G2158" s="5">
        <v>390</v>
      </c>
    </row>
    <row r="2159" spans="1:7" ht="16.5">
      <c r="A2159" s="5" t="s">
        <v>8361</v>
      </c>
      <c r="B2159" s="10" t="s">
        <v>8362</v>
      </c>
      <c r="C2159" s="5" t="s">
        <v>2123</v>
      </c>
      <c r="D2159" s="5" t="s">
        <v>8363</v>
      </c>
      <c r="E2159" s="5" t="s">
        <v>7919</v>
      </c>
      <c r="F2159" s="5">
        <v>28</v>
      </c>
      <c r="G2159" s="5">
        <v>168</v>
      </c>
    </row>
    <row r="2160" spans="1:7" ht="16.5">
      <c r="A2160" s="5" t="s">
        <v>8364</v>
      </c>
      <c r="B2160" s="10" t="s">
        <v>8365</v>
      </c>
      <c r="C2160" s="5" t="s">
        <v>2124</v>
      </c>
      <c r="D2160" s="5" t="s">
        <v>8366</v>
      </c>
      <c r="E2160" s="5" t="s">
        <v>7919</v>
      </c>
      <c r="F2160" s="5">
        <v>30</v>
      </c>
      <c r="G2160" s="5">
        <v>180</v>
      </c>
    </row>
    <row r="2161" spans="1:7" ht="16.5">
      <c r="A2161" s="5" t="s">
        <v>8367</v>
      </c>
      <c r="B2161" s="10" t="s">
        <v>8368</v>
      </c>
      <c r="C2161" s="5" t="s">
        <v>2125</v>
      </c>
      <c r="D2161" s="5" t="s">
        <v>8369</v>
      </c>
      <c r="E2161" s="5" t="s">
        <v>7919</v>
      </c>
      <c r="F2161" s="5">
        <v>78</v>
      </c>
      <c r="G2161" s="5">
        <v>468</v>
      </c>
    </row>
    <row r="2162" spans="1:7" ht="16.5">
      <c r="A2162" s="5" t="s">
        <v>8370</v>
      </c>
      <c r="B2162" s="10" t="s">
        <v>8371</v>
      </c>
      <c r="C2162" s="5" t="s">
        <v>2126</v>
      </c>
      <c r="D2162" s="5" t="s">
        <v>8372</v>
      </c>
      <c r="E2162" s="5" t="s">
        <v>7919</v>
      </c>
      <c r="F2162" s="5">
        <v>38</v>
      </c>
      <c r="G2162" s="5">
        <v>228</v>
      </c>
    </row>
    <row r="2163" spans="1:7" ht="16.5">
      <c r="A2163" s="5" t="s">
        <v>8373</v>
      </c>
      <c r="B2163" s="10" t="s">
        <v>8374</v>
      </c>
      <c r="C2163" s="5" t="s">
        <v>2127</v>
      </c>
      <c r="D2163" s="5" t="s">
        <v>8375</v>
      </c>
      <c r="E2163" s="5" t="s">
        <v>7919</v>
      </c>
      <c r="F2163" s="5">
        <v>35</v>
      </c>
      <c r="G2163" s="5">
        <v>210</v>
      </c>
    </row>
    <row r="2164" spans="1:7" ht="16.5">
      <c r="A2164" s="5" t="s">
        <v>8376</v>
      </c>
      <c r="B2164" s="10" t="s">
        <v>8377</v>
      </c>
      <c r="C2164" s="5" t="s">
        <v>2128</v>
      </c>
      <c r="D2164" s="5" t="s">
        <v>8378</v>
      </c>
      <c r="E2164" s="5" t="s">
        <v>7919</v>
      </c>
      <c r="F2164" s="5">
        <v>65</v>
      </c>
      <c r="G2164" s="5">
        <v>390</v>
      </c>
    </row>
    <row r="2165" spans="1:7" ht="16.5">
      <c r="A2165" s="5" t="s">
        <v>8379</v>
      </c>
      <c r="B2165" s="10" t="s">
        <v>8380</v>
      </c>
      <c r="C2165" s="5" t="s">
        <v>2129</v>
      </c>
      <c r="D2165" s="5" t="s">
        <v>8381</v>
      </c>
      <c r="E2165" s="5" t="s">
        <v>8382</v>
      </c>
      <c r="F2165" s="5">
        <v>180</v>
      </c>
      <c r="G2165" s="5">
        <v>1080</v>
      </c>
    </row>
    <row r="2166" spans="1:7" ht="16.5">
      <c r="A2166" s="5" t="s">
        <v>8383</v>
      </c>
      <c r="B2166" s="10" t="s">
        <v>8384</v>
      </c>
      <c r="C2166" s="5" t="s">
        <v>2130</v>
      </c>
      <c r="D2166" s="5" t="s">
        <v>8385</v>
      </c>
      <c r="E2166" s="5" t="s">
        <v>8382</v>
      </c>
      <c r="F2166" s="5">
        <v>48</v>
      </c>
      <c r="G2166" s="5">
        <v>288</v>
      </c>
    </row>
    <row r="2167" spans="1:7" ht="16.5">
      <c r="A2167" s="5" t="s">
        <v>8386</v>
      </c>
      <c r="B2167" s="10" t="s">
        <v>8387</v>
      </c>
      <c r="C2167" s="5" t="s">
        <v>2131</v>
      </c>
      <c r="D2167" s="5" t="s">
        <v>8388</v>
      </c>
      <c r="E2167" s="5" t="s">
        <v>6692</v>
      </c>
      <c r="F2167" s="5">
        <v>25</v>
      </c>
      <c r="G2167" s="5">
        <v>150</v>
      </c>
    </row>
    <row r="2168" spans="1:7" ht="16.5">
      <c r="A2168" s="5" t="s">
        <v>8389</v>
      </c>
      <c r="B2168" s="10" t="s">
        <v>8390</v>
      </c>
      <c r="C2168" s="5" t="s">
        <v>2132</v>
      </c>
      <c r="D2168" s="5" t="s">
        <v>8391</v>
      </c>
      <c r="E2168" s="5" t="s">
        <v>6692</v>
      </c>
      <c r="F2168" s="5">
        <v>26</v>
      </c>
      <c r="G2168" s="5">
        <v>156</v>
      </c>
    </row>
    <row r="2169" spans="1:7" ht="16.5">
      <c r="A2169" s="5" t="s">
        <v>8392</v>
      </c>
      <c r="B2169" s="10" t="s">
        <v>8393</v>
      </c>
      <c r="C2169" s="5" t="s">
        <v>2133</v>
      </c>
      <c r="D2169" s="5" t="s">
        <v>8394</v>
      </c>
      <c r="E2169" s="5" t="s">
        <v>6692</v>
      </c>
      <c r="F2169" s="5">
        <v>88</v>
      </c>
      <c r="G2169" s="5">
        <v>528</v>
      </c>
    </row>
    <row r="2170" spans="1:7" ht="16.5">
      <c r="A2170" s="5" t="s">
        <v>8395</v>
      </c>
      <c r="B2170" s="10" t="s">
        <v>8396</v>
      </c>
      <c r="C2170" s="5" t="s">
        <v>2134</v>
      </c>
      <c r="D2170" s="5" t="s">
        <v>8394</v>
      </c>
      <c r="E2170" s="5" t="s">
        <v>6692</v>
      </c>
      <c r="F2170" s="5">
        <v>88</v>
      </c>
      <c r="G2170" s="5">
        <v>528</v>
      </c>
    </row>
    <row r="2171" spans="1:7" ht="16.5">
      <c r="A2171" s="5" t="s">
        <v>8397</v>
      </c>
      <c r="B2171" s="10" t="s">
        <v>8398</v>
      </c>
      <c r="C2171" s="5" t="s">
        <v>2135</v>
      </c>
      <c r="D2171" s="5" t="s">
        <v>8394</v>
      </c>
      <c r="E2171" s="5" t="s">
        <v>6692</v>
      </c>
      <c r="F2171" s="5">
        <v>88</v>
      </c>
      <c r="G2171" s="5">
        <v>528</v>
      </c>
    </row>
    <row r="2172" spans="1:7" ht="16.5">
      <c r="A2172" s="5" t="s">
        <v>8399</v>
      </c>
      <c r="B2172" s="10" t="s">
        <v>8400</v>
      </c>
      <c r="C2172" s="5" t="s">
        <v>2136</v>
      </c>
      <c r="D2172" s="5" t="s">
        <v>8401</v>
      </c>
      <c r="E2172" s="5" t="s">
        <v>7750</v>
      </c>
      <c r="F2172" s="5">
        <v>26</v>
      </c>
      <c r="G2172" s="5">
        <v>156</v>
      </c>
    </row>
    <row r="2173" spans="1:7" ht="16.5">
      <c r="A2173" s="5" t="s">
        <v>8402</v>
      </c>
      <c r="B2173" s="10" t="s">
        <v>8403</v>
      </c>
      <c r="C2173" s="5" t="s">
        <v>2137</v>
      </c>
      <c r="D2173" s="5" t="s">
        <v>8404</v>
      </c>
      <c r="E2173" s="5" t="s">
        <v>7750</v>
      </c>
      <c r="F2173" s="5">
        <v>29</v>
      </c>
      <c r="G2173" s="5">
        <v>174</v>
      </c>
    </row>
    <row r="2174" spans="1:7" ht="16.5">
      <c r="A2174" s="5" t="s">
        <v>8405</v>
      </c>
      <c r="B2174" s="10" t="s">
        <v>8406</v>
      </c>
      <c r="C2174" s="5" t="s">
        <v>2138</v>
      </c>
      <c r="D2174" s="5" t="s">
        <v>8407</v>
      </c>
      <c r="E2174" s="5" t="s">
        <v>7750</v>
      </c>
      <c r="F2174" s="5">
        <v>25</v>
      </c>
      <c r="G2174" s="5">
        <v>150</v>
      </c>
    </row>
    <row r="2175" spans="1:7" ht="16.5">
      <c r="A2175" s="5" t="s">
        <v>8408</v>
      </c>
      <c r="B2175" s="10" t="s">
        <v>8409</v>
      </c>
      <c r="C2175" s="5" t="s">
        <v>8410</v>
      </c>
      <c r="D2175" s="5" t="s">
        <v>8411</v>
      </c>
      <c r="E2175" s="5" t="s">
        <v>7750</v>
      </c>
      <c r="F2175" s="5">
        <v>30</v>
      </c>
      <c r="G2175" s="5">
        <v>180</v>
      </c>
    </row>
    <row r="2176" spans="1:7" ht="16.5">
      <c r="A2176" s="5" t="s">
        <v>8412</v>
      </c>
      <c r="B2176" s="10" t="s">
        <v>8413</v>
      </c>
      <c r="C2176" s="5" t="s">
        <v>2139</v>
      </c>
      <c r="D2176" s="5" t="s">
        <v>8414</v>
      </c>
      <c r="E2176" s="5" t="s">
        <v>7750</v>
      </c>
      <c r="F2176" s="5">
        <v>26</v>
      </c>
      <c r="G2176" s="5">
        <v>156</v>
      </c>
    </row>
    <row r="2177" spans="1:7" ht="16.5">
      <c r="A2177" s="5" t="s">
        <v>8415</v>
      </c>
      <c r="B2177" s="10" t="s">
        <v>8416</v>
      </c>
      <c r="C2177" s="5" t="s">
        <v>2140</v>
      </c>
      <c r="D2177" s="5" t="s">
        <v>8417</v>
      </c>
      <c r="E2177" s="5" t="s">
        <v>7750</v>
      </c>
      <c r="F2177" s="5">
        <v>25</v>
      </c>
      <c r="G2177" s="5">
        <v>150</v>
      </c>
    </row>
    <row r="2178" spans="1:7" ht="16.5">
      <c r="A2178" s="5" t="s">
        <v>8418</v>
      </c>
      <c r="B2178" s="10" t="s">
        <v>8419</v>
      </c>
      <c r="C2178" s="5" t="s">
        <v>2141</v>
      </c>
      <c r="D2178" s="5" t="s">
        <v>8420</v>
      </c>
      <c r="E2178" s="5" t="s">
        <v>7750</v>
      </c>
      <c r="F2178" s="5">
        <v>25</v>
      </c>
      <c r="G2178" s="5">
        <v>150</v>
      </c>
    </row>
    <row r="2179" spans="1:7" ht="16.5">
      <c r="A2179" s="5" t="s">
        <v>8421</v>
      </c>
      <c r="B2179" s="10" t="s">
        <v>8422</v>
      </c>
      <c r="C2179" s="5" t="s">
        <v>2142</v>
      </c>
      <c r="D2179" s="5" t="s">
        <v>8423</v>
      </c>
      <c r="E2179" s="5" t="s">
        <v>7750</v>
      </c>
      <c r="F2179" s="5">
        <v>23</v>
      </c>
      <c r="G2179" s="5">
        <v>138</v>
      </c>
    </row>
    <row r="2180" spans="1:7" ht="16.5">
      <c r="A2180" s="5" t="s">
        <v>8424</v>
      </c>
      <c r="B2180" s="10" t="s">
        <v>8425</v>
      </c>
      <c r="C2180" s="5" t="s">
        <v>2143</v>
      </c>
      <c r="D2180" s="5" t="s">
        <v>8426</v>
      </c>
      <c r="E2180" s="5" t="s">
        <v>7750</v>
      </c>
      <c r="F2180" s="5">
        <v>46</v>
      </c>
      <c r="G2180" s="5">
        <v>276</v>
      </c>
    </row>
    <row r="2181" spans="1:7" ht="16.5">
      <c r="A2181" s="5" t="s">
        <v>8427</v>
      </c>
      <c r="B2181" s="10" t="s">
        <v>8428</v>
      </c>
      <c r="C2181" s="5" t="s">
        <v>2144</v>
      </c>
      <c r="D2181" s="5" t="s">
        <v>8429</v>
      </c>
      <c r="E2181" s="5" t="s">
        <v>7750</v>
      </c>
      <c r="F2181" s="5">
        <v>25</v>
      </c>
      <c r="G2181" s="5">
        <v>150</v>
      </c>
    </row>
    <row r="2182" spans="1:7" ht="16.5">
      <c r="A2182" s="5" t="s">
        <v>8430</v>
      </c>
      <c r="B2182" s="10" t="s">
        <v>8431</v>
      </c>
      <c r="C2182" s="5" t="s">
        <v>2145</v>
      </c>
      <c r="D2182" s="5" t="s">
        <v>8432</v>
      </c>
      <c r="E2182" s="5" t="s">
        <v>7750</v>
      </c>
      <c r="F2182" s="5">
        <v>28</v>
      </c>
      <c r="G2182" s="5">
        <v>168</v>
      </c>
    </row>
    <row r="2183" spans="1:7" ht="16.5">
      <c r="A2183" s="5" t="s">
        <v>8433</v>
      </c>
      <c r="B2183" s="10" t="s">
        <v>8434</v>
      </c>
      <c r="C2183" s="5" t="s">
        <v>2146</v>
      </c>
      <c r="D2183" s="5" t="s">
        <v>8435</v>
      </c>
      <c r="E2183" s="5" t="s">
        <v>7750</v>
      </c>
      <c r="F2183" s="5">
        <v>15</v>
      </c>
      <c r="G2183" s="5">
        <v>90</v>
      </c>
    </row>
    <row r="2184" spans="1:7" ht="16.5">
      <c r="A2184" s="5" t="s">
        <v>8436</v>
      </c>
      <c r="B2184" s="10" t="s">
        <v>8437</v>
      </c>
      <c r="C2184" s="5" t="s">
        <v>2147</v>
      </c>
      <c r="D2184" s="5" t="s">
        <v>8438</v>
      </c>
      <c r="E2184" s="5" t="s">
        <v>7750</v>
      </c>
      <c r="F2184" s="5">
        <v>40</v>
      </c>
      <c r="G2184" s="5">
        <v>240</v>
      </c>
    </row>
    <row r="2185" spans="1:7" ht="16.5">
      <c r="A2185" s="5" t="s">
        <v>8439</v>
      </c>
      <c r="B2185" s="10" t="s">
        <v>8440</v>
      </c>
      <c r="C2185" s="5" t="s">
        <v>2148</v>
      </c>
      <c r="D2185" s="5" t="s">
        <v>8441</v>
      </c>
      <c r="E2185" s="5" t="s">
        <v>7750</v>
      </c>
      <c r="F2185" s="5">
        <v>58</v>
      </c>
      <c r="G2185" s="5">
        <v>348</v>
      </c>
    </row>
    <row r="2186" spans="1:7" ht="16.5">
      <c r="A2186" s="5" t="s">
        <v>8442</v>
      </c>
      <c r="B2186" s="10" t="s">
        <v>8443</v>
      </c>
      <c r="C2186" s="5" t="s">
        <v>2149</v>
      </c>
      <c r="D2186" s="5" t="s">
        <v>8444</v>
      </c>
      <c r="E2186" s="5" t="s">
        <v>7750</v>
      </c>
      <c r="F2186" s="5">
        <v>28</v>
      </c>
      <c r="G2186" s="5">
        <v>168</v>
      </c>
    </row>
    <row r="2187" spans="1:7" ht="16.5">
      <c r="A2187" s="5" t="s">
        <v>8445</v>
      </c>
      <c r="B2187" s="10" t="s">
        <v>8446</v>
      </c>
      <c r="C2187" s="5" t="s">
        <v>2150</v>
      </c>
      <c r="D2187" s="5" t="s">
        <v>8447</v>
      </c>
      <c r="E2187" s="5" t="s">
        <v>7750</v>
      </c>
      <c r="F2187" s="5">
        <v>28</v>
      </c>
      <c r="G2187" s="5">
        <v>168</v>
      </c>
    </row>
    <row r="2188" spans="1:7" ht="16.5">
      <c r="A2188" s="5" t="s">
        <v>8448</v>
      </c>
      <c r="B2188" s="10" t="s">
        <v>8449</v>
      </c>
      <c r="C2188" s="5" t="s">
        <v>2151</v>
      </c>
      <c r="D2188" s="5" t="s">
        <v>8450</v>
      </c>
      <c r="E2188" s="5" t="s">
        <v>7750</v>
      </c>
      <c r="F2188" s="5">
        <v>25</v>
      </c>
      <c r="G2188" s="5">
        <v>150</v>
      </c>
    </row>
    <row r="2189" spans="1:7" ht="16.5">
      <c r="A2189" s="5" t="s">
        <v>8451</v>
      </c>
      <c r="B2189" s="10" t="s">
        <v>8452</v>
      </c>
      <c r="C2189" s="5" t="s">
        <v>2152</v>
      </c>
      <c r="D2189" s="5" t="s">
        <v>8453</v>
      </c>
      <c r="E2189" s="5" t="s">
        <v>7750</v>
      </c>
      <c r="F2189" s="5">
        <v>12</v>
      </c>
      <c r="G2189" s="5">
        <v>72</v>
      </c>
    </row>
    <row r="2190" spans="1:7" ht="16.5">
      <c r="A2190" s="5" t="s">
        <v>8454</v>
      </c>
      <c r="B2190" s="10" t="s">
        <v>8455</v>
      </c>
      <c r="C2190" s="5" t="s">
        <v>2153</v>
      </c>
      <c r="D2190" s="5" t="s">
        <v>8456</v>
      </c>
      <c r="E2190" s="5" t="s">
        <v>7750</v>
      </c>
      <c r="F2190" s="5">
        <v>19</v>
      </c>
      <c r="G2190" s="5">
        <v>114</v>
      </c>
    </row>
    <row r="2191" spans="1:7" ht="16.5">
      <c r="A2191" s="5" t="s">
        <v>8457</v>
      </c>
      <c r="B2191" s="10" t="s">
        <v>8458</v>
      </c>
      <c r="C2191" s="5" t="s">
        <v>2154</v>
      </c>
      <c r="D2191" s="5" t="s">
        <v>8459</v>
      </c>
      <c r="E2191" s="5" t="s">
        <v>8460</v>
      </c>
      <c r="F2191" s="5">
        <v>28.8</v>
      </c>
      <c r="G2191" s="5">
        <v>173</v>
      </c>
    </row>
    <row r="2192" spans="1:7" ht="16.5">
      <c r="A2192" s="5" t="s">
        <v>8461</v>
      </c>
      <c r="B2192" s="10" t="s">
        <v>8462</v>
      </c>
      <c r="C2192" s="5" t="s">
        <v>2155</v>
      </c>
      <c r="D2192" s="5" t="s">
        <v>8463</v>
      </c>
      <c r="E2192" s="5" t="s">
        <v>8460</v>
      </c>
      <c r="F2192" s="5">
        <v>28.8</v>
      </c>
      <c r="G2192" s="5">
        <v>173</v>
      </c>
    </row>
    <row r="2193" spans="1:7" ht="16.5">
      <c r="A2193" s="5" t="s">
        <v>8464</v>
      </c>
      <c r="B2193" s="10" t="s">
        <v>8465</v>
      </c>
      <c r="C2193" s="5" t="s">
        <v>2156</v>
      </c>
      <c r="D2193" s="5" t="s">
        <v>8466</v>
      </c>
      <c r="E2193" s="5" t="s">
        <v>8460</v>
      </c>
      <c r="F2193" s="5">
        <v>29.8</v>
      </c>
      <c r="G2193" s="5">
        <v>179</v>
      </c>
    </row>
    <row r="2194" spans="1:7" ht="16.5">
      <c r="A2194" s="5" t="s">
        <v>8467</v>
      </c>
      <c r="B2194" s="10" t="s">
        <v>8468</v>
      </c>
      <c r="C2194" s="5" t="s">
        <v>2157</v>
      </c>
      <c r="D2194" s="5" t="s">
        <v>8469</v>
      </c>
      <c r="E2194" s="5" t="s">
        <v>8460</v>
      </c>
      <c r="F2194" s="5">
        <v>28.8</v>
      </c>
      <c r="G2194" s="5">
        <v>173</v>
      </c>
    </row>
    <row r="2195" spans="1:7" ht="16.5">
      <c r="A2195" s="5" t="s">
        <v>8470</v>
      </c>
      <c r="B2195" s="10" t="s">
        <v>8471</v>
      </c>
      <c r="C2195" s="5" t="s">
        <v>2158</v>
      </c>
      <c r="D2195" s="5" t="s">
        <v>8472</v>
      </c>
      <c r="E2195" s="5" t="s">
        <v>8460</v>
      </c>
      <c r="F2195" s="5">
        <v>28</v>
      </c>
      <c r="G2195" s="5">
        <v>168</v>
      </c>
    </row>
    <row r="2196" spans="1:7" ht="16.5">
      <c r="A2196" s="5" t="s">
        <v>8473</v>
      </c>
      <c r="B2196" s="10" t="s">
        <v>8474</v>
      </c>
      <c r="C2196" s="5" t="s">
        <v>2159</v>
      </c>
      <c r="D2196" s="5" t="s">
        <v>8475</v>
      </c>
      <c r="E2196" s="5" t="s">
        <v>8460</v>
      </c>
      <c r="F2196" s="5">
        <v>28</v>
      </c>
      <c r="G2196" s="5">
        <v>168</v>
      </c>
    </row>
    <row r="2197" spans="1:7" ht="16.5">
      <c r="A2197" s="5" t="s">
        <v>8476</v>
      </c>
      <c r="B2197" s="10" t="s">
        <v>8477</v>
      </c>
      <c r="C2197" s="5" t="s">
        <v>2160</v>
      </c>
      <c r="D2197" s="5" t="s">
        <v>8478</v>
      </c>
      <c r="E2197" s="5" t="s">
        <v>8460</v>
      </c>
      <c r="F2197" s="5">
        <v>28</v>
      </c>
      <c r="G2197" s="5">
        <v>168</v>
      </c>
    </row>
    <row r="2198" spans="1:7" ht="16.5">
      <c r="A2198" s="5" t="s">
        <v>8479</v>
      </c>
      <c r="B2198" s="10" t="s">
        <v>8480</v>
      </c>
      <c r="C2198" s="5" t="s">
        <v>2161</v>
      </c>
      <c r="D2198" s="5" t="s">
        <v>8481</v>
      </c>
      <c r="E2198" s="5" t="s">
        <v>8460</v>
      </c>
      <c r="F2198" s="5">
        <v>28</v>
      </c>
      <c r="G2198" s="5">
        <v>168</v>
      </c>
    </row>
    <row r="2199" spans="1:7" ht="16.5">
      <c r="A2199" s="5" t="s">
        <v>8482</v>
      </c>
      <c r="B2199" s="10" t="s">
        <v>8483</v>
      </c>
      <c r="C2199" s="5" t="s">
        <v>2162</v>
      </c>
      <c r="D2199" s="5" t="s">
        <v>8484</v>
      </c>
      <c r="E2199" s="5" t="s">
        <v>8460</v>
      </c>
      <c r="F2199" s="5">
        <v>28</v>
      </c>
      <c r="G2199" s="5">
        <v>168</v>
      </c>
    </row>
    <row r="2200" spans="1:7" ht="16.5">
      <c r="A2200" s="5" t="s">
        <v>8485</v>
      </c>
      <c r="B2200" s="10" t="s">
        <v>8486</v>
      </c>
      <c r="C2200" s="5" t="s">
        <v>2163</v>
      </c>
      <c r="D2200" s="5" t="s">
        <v>8487</v>
      </c>
      <c r="E2200" s="5" t="s">
        <v>8460</v>
      </c>
      <c r="F2200" s="5">
        <v>28</v>
      </c>
      <c r="G2200" s="5">
        <v>168</v>
      </c>
    </row>
    <row r="2201" spans="1:7" ht="16.5">
      <c r="A2201" s="5" t="s">
        <v>8488</v>
      </c>
      <c r="B2201" s="10" t="s">
        <v>8489</v>
      </c>
      <c r="C2201" s="5" t="s">
        <v>2164</v>
      </c>
      <c r="D2201" s="5" t="s">
        <v>8490</v>
      </c>
      <c r="E2201" s="5" t="s">
        <v>8460</v>
      </c>
      <c r="F2201" s="5">
        <v>28</v>
      </c>
      <c r="G2201" s="5">
        <v>168</v>
      </c>
    </row>
    <row r="2202" spans="1:7" ht="16.5">
      <c r="A2202" s="5" t="s">
        <v>8491</v>
      </c>
      <c r="B2202" s="10" t="s">
        <v>8492</v>
      </c>
      <c r="C2202" s="5" t="s">
        <v>8493</v>
      </c>
      <c r="D2202" s="5" t="s">
        <v>8494</v>
      </c>
      <c r="E2202" s="5" t="s">
        <v>8460</v>
      </c>
      <c r="F2202" s="5">
        <v>29.8</v>
      </c>
      <c r="G2202" s="5">
        <v>179</v>
      </c>
    </row>
    <row r="2203" spans="1:7" ht="16.5">
      <c r="A2203" s="5" t="s">
        <v>8495</v>
      </c>
      <c r="B2203" s="10" t="s">
        <v>8496</v>
      </c>
      <c r="C2203" s="5" t="s">
        <v>2165</v>
      </c>
      <c r="D2203" s="5" t="s">
        <v>8497</v>
      </c>
      <c r="E2203" s="5" t="s">
        <v>7851</v>
      </c>
      <c r="F2203" s="5">
        <v>29.8</v>
      </c>
      <c r="G2203" s="5">
        <v>179</v>
      </c>
    </row>
    <row r="2204" spans="1:7" ht="16.5">
      <c r="A2204" s="5" t="s">
        <v>8498</v>
      </c>
      <c r="B2204" s="10" t="s">
        <v>8499</v>
      </c>
      <c r="C2204" s="5" t="s">
        <v>2166</v>
      </c>
      <c r="D2204" s="5" t="s">
        <v>8500</v>
      </c>
      <c r="E2204" s="5" t="s">
        <v>7851</v>
      </c>
      <c r="F2204" s="5">
        <v>32.8</v>
      </c>
      <c r="G2204" s="5">
        <v>197</v>
      </c>
    </row>
    <row r="2205" spans="1:7" ht="16.5">
      <c r="A2205" s="5" t="s">
        <v>8501</v>
      </c>
      <c r="B2205" s="10" t="s">
        <v>8502</v>
      </c>
      <c r="C2205" s="5" t="s">
        <v>2167</v>
      </c>
      <c r="D2205" s="5" t="s">
        <v>8503</v>
      </c>
      <c r="E2205" s="5" t="s">
        <v>8504</v>
      </c>
      <c r="F2205" s="5">
        <v>19.8</v>
      </c>
      <c r="G2205" s="5">
        <v>119</v>
      </c>
    </row>
    <row r="2206" spans="1:7" ht="16.5">
      <c r="A2206" s="5" t="s">
        <v>8505</v>
      </c>
      <c r="B2206" s="10" t="s">
        <v>8506</v>
      </c>
      <c r="C2206" s="5" t="s">
        <v>2168</v>
      </c>
      <c r="D2206" s="5" t="s">
        <v>8507</v>
      </c>
      <c r="E2206" s="5" t="s">
        <v>7803</v>
      </c>
      <c r="F2206" s="5">
        <v>168</v>
      </c>
      <c r="G2206" s="5">
        <v>1008</v>
      </c>
    </row>
    <row r="2207" spans="1:7" ht="16.5">
      <c r="A2207" s="5" t="s">
        <v>8508</v>
      </c>
      <c r="B2207" s="10" t="s">
        <v>8509</v>
      </c>
      <c r="C2207" s="5" t="s">
        <v>2169</v>
      </c>
      <c r="D2207" s="5" t="s">
        <v>8510</v>
      </c>
      <c r="E2207" s="5" t="s">
        <v>7803</v>
      </c>
      <c r="F2207" s="5">
        <v>21</v>
      </c>
      <c r="G2207" s="5">
        <v>126</v>
      </c>
    </row>
    <row r="2208" spans="1:7" ht="16.5">
      <c r="A2208" s="5" t="s">
        <v>8511</v>
      </c>
      <c r="B2208" s="10" t="s">
        <v>8512</v>
      </c>
      <c r="C2208" s="5" t="s">
        <v>2170</v>
      </c>
      <c r="D2208" s="5" t="s">
        <v>8513</v>
      </c>
      <c r="E2208" s="5" t="s">
        <v>7803</v>
      </c>
      <c r="F2208" s="5">
        <v>20</v>
      </c>
      <c r="G2208" s="5">
        <v>120</v>
      </c>
    </row>
    <row r="2209" spans="1:7" ht="16.5">
      <c r="A2209" s="5" t="s">
        <v>8514</v>
      </c>
      <c r="B2209" s="10" t="s">
        <v>8515</v>
      </c>
      <c r="C2209" s="5" t="s">
        <v>2171</v>
      </c>
      <c r="D2209" s="5" t="s">
        <v>8516</v>
      </c>
      <c r="E2209" s="5" t="s">
        <v>7803</v>
      </c>
      <c r="F2209" s="5">
        <v>25</v>
      </c>
      <c r="G2209" s="5">
        <v>150</v>
      </c>
    </row>
    <row r="2210" spans="1:7" ht="16.5">
      <c r="A2210" s="5" t="s">
        <v>8517</v>
      </c>
      <c r="B2210" s="10" t="s">
        <v>8518</v>
      </c>
      <c r="C2210" s="5" t="s">
        <v>2172</v>
      </c>
      <c r="D2210" s="5" t="s">
        <v>2260</v>
      </c>
      <c r="E2210" s="5" t="s">
        <v>7803</v>
      </c>
      <c r="F2210" s="5">
        <v>31</v>
      </c>
      <c r="G2210" s="5">
        <v>186</v>
      </c>
    </row>
    <row r="2211" spans="1:7" ht="16.5">
      <c r="A2211" s="5" t="s">
        <v>8519</v>
      </c>
      <c r="B2211" s="10" t="s">
        <v>8520</v>
      </c>
      <c r="C2211" s="5" t="s">
        <v>2173</v>
      </c>
      <c r="D2211" s="5" t="s">
        <v>8521</v>
      </c>
      <c r="E2211" s="5" t="s">
        <v>7803</v>
      </c>
      <c r="F2211" s="5">
        <v>25</v>
      </c>
      <c r="G2211" s="5">
        <v>150</v>
      </c>
    </row>
    <row r="2212" spans="1:7" ht="16.5">
      <c r="A2212" s="5" t="s">
        <v>8522</v>
      </c>
      <c r="B2212" s="10" t="s">
        <v>8523</v>
      </c>
      <c r="C2212" s="5" t="s">
        <v>2174</v>
      </c>
      <c r="D2212" s="5" t="s">
        <v>8524</v>
      </c>
      <c r="E2212" s="5" t="s">
        <v>7803</v>
      </c>
      <c r="F2212" s="5">
        <v>32</v>
      </c>
      <c r="G2212" s="5">
        <v>192</v>
      </c>
    </row>
    <row r="2213" spans="1:7" ht="16.5">
      <c r="A2213" s="5" t="s">
        <v>8525</v>
      </c>
      <c r="B2213" s="10" t="s">
        <v>8526</v>
      </c>
      <c r="C2213" s="5" t="s">
        <v>2175</v>
      </c>
      <c r="D2213" s="5" t="s">
        <v>8527</v>
      </c>
      <c r="E2213" s="5" t="s">
        <v>6548</v>
      </c>
      <c r="F2213" s="5">
        <v>42</v>
      </c>
      <c r="G2213" s="5">
        <v>252</v>
      </c>
    </row>
    <row r="2214" spans="1:7" ht="16.5">
      <c r="A2214" s="5" t="s">
        <v>8528</v>
      </c>
      <c r="B2214" s="10" t="s">
        <v>8529</v>
      </c>
      <c r="C2214" s="5" t="s">
        <v>2176</v>
      </c>
      <c r="D2214" s="5" t="s">
        <v>8530</v>
      </c>
      <c r="E2214" s="5" t="s">
        <v>6548</v>
      </c>
      <c r="F2214" s="5">
        <v>29.8</v>
      </c>
      <c r="G2214" s="5">
        <v>179</v>
      </c>
    </row>
    <row r="2215" spans="1:7" ht="16.5">
      <c r="A2215" s="5" t="s">
        <v>8531</v>
      </c>
      <c r="B2215" s="10" t="s">
        <v>8532</v>
      </c>
      <c r="C2215" s="5" t="s">
        <v>2177</v>
      </c>
      <c r="D2215" s="5" t="s">
        <v>8533</v>
      </c>
      <c r="E2215" s="5" t="s">
        <v>8534</v>
      </c>
      <c r="F2215" s="5">
        <v>32.8</v>
      </c>
      <c r="G2215" s="5">
        <v>197</v>
      </c>
    </row>
    <row r="2216" spans="1:7" ht="16.5">
      <c r="A2216" s="5" t="s">
        <v>8535</v>
      </c>
      <c r="B2216" s="10" t="s">
        <v>8536</v>
      </c>
      <c r="C2216" s="5" t="s">
        <v>2178</v>
      </c>
      <c r="D2216" s="5" t="s">
        <v>8537</v>
      </c>
      <c r="E2216" s="5" t="s">
        <v>8538</v>
      </c>
      <c r="F2216" s="5">
        <v>28</v>
      </c>
      <c r="G2216" s="5">
        <v>168</v>
      </c>
    </row>
    <row r="2217" spans="1:7" ht="16.5">
      <c r="A2217" s="5" t="s">
        <v>8539</v>
      </c>
      <c r="B2217" s="10" t="s">
        <v>8540</v>
      </c>
      <c r="C2217" s="5" t="s">
        <v>2179</v>
      </c>
      <c r="D2217" s="5" t="s">
        <v>8541</v>
      </c>
      <c r="E2217" s="5" t="s">
        <v>8542</v>
      </c>
      <c r="F2217" s="5">
        <v>15</v>
      </c>
      <c r="G2217" s="5">
        <v>90</v>
      </c>
    </row>
    <row r="2218" spans="1:7" ht="16.5">
      <c r="A2218" s="5" t="s">
        <v>8543</v>
      </c>
      <c r="B2218" s="10" t="s">
        <v>8544</v>
      </c>
      <c r="C2218" s="5" t="s">
        <v>2180</v>
      </c>
      <c r="D2218" s="5" t="s">
        <v>8545</v>
      </c>
      <c r="E2218" s="5" t="s">
        <v>8542</v>
      </c>
      <c r="F2218" s="5">
        <v>15</v>
      </c>
      <c r="G2218" s="5">
        <v>90</v>
      </c>
    </row>
    <row r="2219" spans="1:7" ht="16.5">
      <c r="A2219" s="5" t="s">
        <v>8546</v>
      </c>
      <c r="B2219" s="10" t="s">
        <v>8547</v>
      </c>
      <c r="C2219" s="5" t="s">
        <v>2181</v>
      </c>
      <c r="D2219" s="5" t="s">
        <v>8548</v>
      </c>
      <c r="E2219" s="5" t="s">
        <v>7110</v>
      </c>
      <c r="F2219" s="5">
        <v>65</v>
      </c>
      <c r="G2219" s="5">
        <v>390</v>
      </c>
    </row>
    <row r="2220" spans="1:7" ht="16.5">
      <c r="A2220" s="5" t="s">
        <v>8549</v>
      </c>
      <c r="B2220" s="10" t="s">
        <v>8550</v>
      </c>
      <c r="C2220" s="5" t="s">
        <v>2182</v>
      </c>
      <c r="D2220" s="5" t="s">
        <v>8551</v>
      </c>
      <c r="E2220" s="5" t="s">
        <v>8552</v>
      </c>
      <c r="F2220" s="5">
        <v>192</v>
      </c>
      <c r="G2220" s="5">
        <v>1152</v>
      </c>
    </row>
    <row r="2221" spans="1:7" ht="16.5">
      <c r="A2221" s="5" t="s">
        <v>8553</v>
      </c>
      <c r="B2221" s="10" t="s">
        <v>8550</v>
      </c>
      <c r="C2221" s="5" t="s">
        <v>2183</v>
      </c>
      <c r="D2221" s="5" t="s">
        <v>8551</v>
      </c>
      <c r="E2221" s="5" t="s">
        <v>8552</v>
      </c>
      <c r="F2221" s="5">
        <v>192</v>
      </c>
      <c r="G2221" s="5">
        <v>1152</v>
      </c>
    </row>
    <row r="2222" spans="1:7" ht="16.5">
      <c r="A2222" s="5" t="s">
        <v>8554</v>
      </c>
      <c r="B2222" s="10" t="s">
        <v>8550</v>
      </c>
      <c r="C2222" s="5" t="s">
        <v>2184</v>
      </c>
      <c r="D2222" s="5" t="s">
        <v>8551</v>
      </c>
      <c r="E2222" s="5" t="s">
        <v>8552</v>
      </c>
      <c r="F2222" s="5">
        <v>192</v>
      </c>
      <c r="G2222" s="5">
        <v>1152</v>
      </c>
    </row>
    <row r="2223" spans="1:7" ht="16.5">
      <c r="A2223" s="5" t="s">
        <v>8555</v>
      </c>
      <c r="B2223" s="10" t="s">
        <v>8550</v>
      </c>
      <c r="C2223" s="5" t="s">
        <v>2185</v>
      </c>
      <c r="D2223" s="5" t="s">
        <v>8551</v>
      </c>
      <c r="E2223" s="5" t="s">
        <v>8552</v>
      </c>
      <c r="F2223" s="5">
        <v>192</v>
      </c>
      <c r="G2223" s="5">
        <v>1152</v>
      </c>
    </row>
    <row r="2224" spans="1:7" ht="16.5">
      <c r="A2224" s="5" t="s">
        <v>8556</v>
      </c>
      <c r="B2224" s="10" t="s">
        <v>8550</v>
      </c>
      <c r="C2224" s="5" t="s">
        <v>2186</v>
      </c>
      <c r="D2224" s="5" t="s">
        <v>8551</v>
      </c>
      <c r="E2224" s="5" t="s">
        <v>8552</v>
      </c>
      <c r="F2224" s="5">
        <v>192</v>
      </c>
      <c r="G2224" s="5">
        <v>1152</v>
      </c>
    </row>
    <row r="2225" spans="1:7" ht="16.5">
      <c r="A2225" s="5" t="s">
        <v>8557</v>
      </c>
      <c r="B2225" s="10" t="s">
        <v>8558</v>
      </c>
      <c r="C2225" s="5" t="s">
        <v>2187</v>
      </c>
      <c r="D2225" s="5" t="s">
        <v>8559</v>
      </c>
      <c r="E2225" s="5" t="s">
        <v>8552</v>
      </c>
      <c r="F2225" s="5">
        <v>36</v>
      </c>
      <c r="G2225" s="5">
        <v>216</v>
      </c>
    </row>
    <row r="2226" spans="1:7" ht="16.5">
      <c r="A2226" s="5" t="s">
        <v>8560</v>
      </c>
      <c r="B2226" s="10" t="s">
        <v>8561</v>
      </c>
      <c r="C2226" s="5" t="s">
        <v>2188</v>
      </c>
      <c r="D2226" s="5" t="s">
        <v>8562</v>
      </c>
      <c r="E2226" s="5" t="s">
        <v>8563</v>
      </c>
      <c r="F2226" s="5">
        <v>18</v>
      </c>
      <c r="G2226" s="5">
        <v>108</v>
      </c>
    </row>
    <row r="2227" spans="1:7" ht="16.5">
      <c r="A2227" s="5" t="s">
        <v>8564</v>
      </c>
      <c r="B2227" s="10" t="s">
        <v>8565</v>
      </c>
      <c r="C2227" s="5" t="s">
        <v>2189</v>
      </c>
      <c r="D2227" s="5" t="s">
        <v>8566</v>
      </c>
      <c r="E2227" s="5" t="s">
        <v>8567</v>
      </c>
      <c r="F2227" s="5">
        <v>38</v>
      </c>
      <c r="G2227" s="5">
        <v>228</v>
      </c>
    </row>
    <row r="2228" spans="1:7" ht="16.5">
      <c r="A2228" s="5" t="s">
        <v>8568</v>
      </c>
      <c r="B2228" s="10" t="s">
        <v>8569</v>
      </c>
      <c r="C2228" s="5" t="s">
        <v>2190</v>
      </c>
      <c r="D2228" s="5" t="s">
        <v>8570</v>
      </c>
      <c r="E2228" s="5" t="s">
        <v>8571</v>
      </c>
      <c r="F2228" s="5">
        <v>49</v>
      </c>
      <c r="G2228" s="5">
        <v>294</v>
      </c>
    </row>
    <row r="2229" spans="1:7" ht="16.5">
      <c r="A2229" s="5" t="s">
        <v>8572</v>
      </c>
      <c r="B2229" s="10" t="s">
        <v>8573</v>
      </c>
      <c r="C2229" s="5" t="s">
        <v>2191</v>
      </c>
      <c r="D2229" s="5" t="s">
        <v>8574</v>
      </c>
      <c r="E2229" s="5" t="s">
        <v>8571</v>
      </c>
      <c r="F2229" s="5">
        <v>23</v>
      </c>
      <c r="G2229" s="5">
        <v>138</v>
      </c>
    </row>
    <row r="2230" spans="1:7" ht="16.5">
      <c r="A2230" s="5" t="s">
        <v>8575</v>
      </c>
      <c r="B2230" s="10" t="s">
        <v>8576</v>
      </c>
      <c r="C2230" s="5" t="s">
        <v>2192</v>
      </c>
      <c r="D2230" s="5" t="s">
        <v>8577</v>
      </c>
      <c r="E2230" s="5" t="s">
        <v>8578</v>
      </c>
      <c r="F2230" s="5">
        <v>29</v>
      </c>
      <c r="G2230" s="5">
        <v>174</v>
      </c>
    </row>
    <row r="2231" spans="1:7" ht="16.5">
      <c r="A2231" s="5" t="s">
        <v>8579</v>
      </c>
      <c r="B2231" s="10" t="s">
        <v>8580</v>
      </c>
      <c r="C2231" s="5" t="s">
        <v>2193</v>
      </c>
      <c r="D2231" s="5" t="s">
        <v>8581</v>
      </c>
      <c r="E2231" s="5" t="s">
        <v>8578</v>
      </c>
      <c r="F2231" s="5">
        <v>28</v>
      </c>
      <c r="G2231" s="5">
        <v>168</v>
      </c>
    </row>
    <row r="2232" spans="1:7" ht="16.5">
      <c r="A2232" s="5" t="s">
        <v>8582</v>
      </c>
      <c r="B2232" s="10" t="s">
        <v>8583</v>
      </c>
      <c r="C2232" s="5" t="s">
        <v>2194</v>
      </c>
      <c r="D2232" s="5" t="s">
        <v>8584</v>
      </c>
      <c r="E2232" s="5" t="s">
        <v>8585</v>
      </c>
      <c r="F2232" s="5">
        <v>32</v>
      </c>
      <c r="G2232" s="5">
        <v>192</v>
      </c>
    </row>
    <row r="2233" spans="1:7" ht="16.5">
      <c r="A2233" s="5" t="s">
        <v>8586</v>
      </c>
      <c r="B2233" s="10" t="s">
        <v>8587</v>
      </c>
      <c r="C2233" s="5" t="s">
        <v>2195</v>
      </c>
      <c r="D2233" s="5" t="s">
        <v>8588</v>
      </c>
      <c r="E2233" s="5" t="s">
        <v>8589</v>
      </c>
      <c r="F2233" s="5">
        <v>18.5</v>
      </c>
      <c r="G2233" s="5">
        <v>111</v>
      </c>
    </row>
    <row r="2234" spans="1:7" ht="16.5">
      <c r="A2234" s="5" t="s">
        <v>8590</v>
      </c>
      <c r="B2234" s="10" t="s">
        <v>8591</v>
      </c>
      <c r="C2234" s="5" t="s">
        <v>2196</v>
      </c>
      <c r="D2234" s="5" t="s">
        <v>8592</v>
      </c>
      <c r="E2234" s="5" t="s">
        <v>8589</v>
      </c>
      <c r="F2234" s="5">
        <v>20</v>
      </c>
      <c r="G2234" s="5">
        <v>120</v>
      </c>
    </row>
    <row r="2235" spans="1:7" ht="16.5">
      <c r="A2235" s="5" t="s">
        <v>8593</v>
      </c>
      <c r="B2235" s="10" t="s">
        <v>8594</v>
      </c>
      <c r="C2235" s="5" t="s">
        <v>2197</v>
      </c>
      <c r="D2235" s="5" t="s">
        <v>8595</v>
      </c>
      <c r="E2235" s="5" t="s">
        <v>8596</v>
      </c>
      <c r="F2235" s="5">
        <v>35</v>
      </c>
      <c r="G2235" s="5">
        <v>210</v>
      </c>
    </row>
    <row r="2236" spans="1:7" ht="16.5">
      <c r="A2236" s="5" t="s">
        <v>8597</v>
      </c>
      <c r="B2236" s="10" t="s">
        <v>8598</v>
      </c>
      <c r="C2236" s="5" t="s">
        <v>2198</v>
      </c>
      <c r="D2236" s="5" t="s">
        <v>8599</v>
      </c>
      <c r="E2236" s="5" t="s">
        <v>8596</v>
      </c>
      <c r="F2236" s="5">
        <v>78</v>
      </c>
      <c r="G2236" s="5">
        <v>468</v>
      </c>
    </row>
    <row r="2237" spans="1:7" ht="16.5">
      <c r="A2237" s="5" t="s">
        <v>8600</v>
      </c>
      <c r="B2237" s="10" t="s">
        <v>8601</v>
      </c>
      <c r="C2237" s="5" t="s">
        <v>2199</v>
      </c>
      <c r="D2237" s="5" t="s">
        <v>8602</v>
      </c>
      <c r="E2237" s="5" t="s">
        <v>8603</v>
      </c>
      <c r="F2237" s="5">
        <v>42</v>
      </c>
      <c r="G2237" s="5">
        <v>252</v>
      </c>
    </row>
    <row r="2238" spans="1:7" ht="16.5">
      <c r="A2238" s="5" t="s">
        <v>8604</v>
      </c>
      <c r="B2238" s="10" t="s">
        <v>8605</v>
      </c>
      <c r="C2238" s="5" t="s">
        <v>2200</v>
      </c>
      <c r="D2238" s="5" t="s">
        <v>8606</v>
      </c>
      <c r="E2238" s="5" t="s">
        <v>8603</v>
      </c>
      <c r="F2238" s="5">
        <v>28</v>
      </c>
      <c r="G2238" s="5">
        <v>168</v>
      </c>
    </row>
    <row r="2239" spans="1:7" ht="16.5">
      <c r="A2239" s="5" t="s">
        <v>8607</v>
      </c>
      <c r="B2239" s="10" t="s">
        <v>8608</v>
      </c>
      <c r="C2239" s="5" t="s">
        <v>2201</v>
      </c>
      <c r="D2239" s="5" t="s">
        <v>8609</v>
      </c>
      <c r="E2239" s="5" t="s">
        <v>8552</v>
      </c>
      <c r="F2239" s="5">
        <v>180</v>
      </c>
      <c r="G2239" s="5">
        <v>1080</v>
      </c>
    </row>
    <row r="2240" spans="1:7" ht="16.5">
      <c r="A2240" s="5" t="s">
        <v>8610</v>
      </c>
      <c r="B2240" s="10" t="s">
        <v>8611</v>
      </c>
      <c r="C2240" s="5" t="s">
        <v>2202</v>
      </c>
      <c r="D2240" s="5" t="s">
        <v>8612</v>
      </c>
      <c r="E2240" s="5" t="s">
        <v>8552</v>
      </c>
      <c r="F2240" s="5">
        <v>49</v>
      </c>
      <c r="G2240" s="5">
        <v>294</v>
      </c>
    </row>
    <row r="2241" spans="1:7" ht="16.5">
      <c r="A2241" s="5" t="s">
        <v>8613</v>
      </c>
      <c r="B2241" s="10" t="s">
        <v>8614</v>
      </c>
      <c r="C2241" s="5" t="s">
        <v>2203</v>
      </c>
      <c r="D2241" s="5" t="s">
        <v>3659</v>
      </c>
      <c r="E2241" s="5" t="s">
        <v>8552</v>
      </c>
      <c r="F2241" s="5">
        <v>80</v>
      </c>
      <c r="G2241" s="5">
        <v>480</v>
      </c>
    </row>
    <row r="2242" spans="1:7" ht="16.5">
      <c r="A2242" s="5" t="s">
        <v>8615</v>
      </c>
      <c r="B2242" s="10" t="s">
        <v>8616</v>
      </c>
      <c r="C2242" s="5" t="s">
        <v>2204</v>
      </c>
      <c r="D2242" s="5" t="s">
        <v>8617</v>
      </c>
      <c r="E2242" s="5" t="s">
        <v>8552</v>
      </c>
      <c r="F2242" s="5">
        <v>26</v>
      </c>
      <c r="G2242" s="5">
        <v>156</v>
      </c>
    </row>
    <row r="2243" spans="1:7" ht="16.5">
      <c r="A2243" s="5" t="s">
        <v>8618</v>
      </c>
      <c r="B2243" s="10" t="s">
        <v>8619</v>
      </c>
      <c r="C2243" s="5" t="s">
        <v>2205</v>
      </c>
      <c r="D2243" s="5" t="s">
        <v>8620</v>
      </c>
      <c r="E2243" s="5" t="s">
        <v>8552</v>
      </c>
      <c r="F2243" s="5">
        <v>49</v>
      </c>
      <c r="G2243" s="5">
        <v>294</v>
      </c>
    </row>
    <row r="2244" spans="1:7" ht="16.5">
      <c r="A2244" s="5" t="s">
        <v>8621</v>
      </c>
      <c r="B2244" s="10" t="s">
        <v>8622</v>
      </c>
      <c r="C2244" s="5" t="s">
        <v>2206</v>
      </c>
      <c r="D2244" s="5" t="s">
        <v>8623</v>
      </c>
      <c r="E2244" s="5" t="s">
        <v>8552</v>
      </c>
      <c r="F2244" s="5">
        <v>42</v>
      </c>
      <c r="G2244" s="5">
        <v>252</v>
      </c>
    </row>
    <row r="2245" spans="1:7" ht="16.5">
      <c r="A2245" s="5" t="s">
        <v>8624</v>
      </c>
      <c r="B2245" s="10" t="s">
        <v>8625</v>
      </c>
      <c r="C2245" s="5" t="s">
        <v>2207</v>
      </c>
      <c r="D2245" s="5" t="s">
        <v>8626</v>
      </c>
      <c r="E2245" s="5" t="s">
        <v>8552</v>
      </c>
      <c r="F2245" s="5">
        <v>42</v>
      </c>
      <c r="G2245" s="5">
        <v>252</v>
      </c>
    </row>
    <row r="2246" spans="1:7" ht="16.5">
      <c r="A2246" s="5" t="s">
        <v>8627</v>
      </c>
      <c r="B2246" s="10" t="s">
        <v>8628</v>
      </c>
      <c r="C2246" s="5" t="s">
        <v>2208</v>
      </c>
      <c r="D2246" s="5" t="s">
        <v>8629</v>
      </c>
      <c r="E2246" s="5" t="s">
        <v>8552</v>
      </c>
      <c r="F2246" s="5">
        <v>27</v>
      </c>
      <c r="G2246" s="5">
        <v>162</v>
      </c>
    </row>
    <row r="2247" spans="1:7" ht="16.5">
      <c r="A2247" s="5" t="s">
        <v>8630</v>
      </c>
      <c r="B2247" s="10" t="s">
        <v>8631</v>
      </c>
      <c r="C2247" s="5" t="s">
        <v>2209</v>
      </c>
      <c r="D2247" s="5" t="s">
        <v>8632</v>
      </c>
      <c r="E2247" s="5" t="s">
        <v>8552</v>
      </c>
      <c r="F2247" s="5">
        <v>40</v>
      </c>
      <c r="G2247" s="5">
        <v>240</v>
      </c>
    </row>
    <row r="2248" spans="1:7" ht="16.5">
      <c r="A2248" s="5" t="s">
        <v>8633</v>
      </c>
      <c r="B2248" s="10" t="s">
        <v>8634</v>
      </c>
      <c r="C2248" s="5" t="s">
        <v>2210</v>
      </c>
      <c r="D2248" s="5" t="s">
        <v>8635</v>
      </c>
      <c r="E2248" s="5" t="s">
        <v>8552</v>
      </c>
      <c r="F2248" s="5">
        <v>39</v>
      </c>
      <c r="G2248" s="5">
        <v>234</v>
      </c>
    </row>
    <row r="2249" spans="1:7" ht="16.5">
      <c r="A2249" s="5" t="s">
        <v>8636</v>
      </c>
      <c r="B2249" s="10" t="s">
        <v>8637</v>
      </c>
      <c r="C2249" s="5" t="s">
        <v>2211</v>
      </c>
      <c r="D2249" s="5" t="s">
        <v>8638</v>
      </c>
      <c r="E2249" s="5" t="s">
        <v>8552</v>
      </c>
      <c r="F2249" s="5">
        <v>68</v>
      </c>
      <c r="G2249" s="5">
        <v>408</v>
      </c>
    </row>
    <row r="2250" spans="1:7" ht="16.5">
      <c r="A2250" s="5" t="s">
        <v>8639</v>
      </c>
      <c r="B2250" s="10" t="s">
        <v>8640</v>
      </c>
      <c r="C2250" s="5" t="s">
        <v>2212</v>
      </c>
      <c r="D2250" s="5" t="s">
        <v>8641</v>
      </c>
      <c r="E2250" s="5" t="s">
        <v>8552</v>
      </c>
      <c r="F2250" s="5">
        <v>75</v>
      </c>
      <c r="G2250" s="5">
        <v>450</v>
      </c>
    </row>
    <row r="2251" spans="1:7" ht="16.5">
      <c r="A2251" s="6">
        <v>81124877</v>
      </c>
      <c r="B2251" s="11" t="s">
        <v>8642</v>
      </c>
      <c r="C2251" s="5" t="s">
        <v>2213</v>
      </c>
      <c r="D2251" s="5" t="s">
        <v>8643</v>
      </c>
      <c r="E2251" s="5" t="s">
        <v>8644</v>
      </c>
      <c r="F2251" s="5">
        <v>32</v>
      </c>
      <c r="G2251" s="5">
        <v>192</v>
      </c>
    </row>
    <row r="2252" spans="1:7" ht="16.5">
      <c r="A2252" s="5" t="s">
        <v>8645</v>
      </c>
      <c r="B2252" s="10" t="s">
        <v>8646</v>
      </c>
      <c r="C2252" s="5" t="s">
        <v>2214</v>
      </c>
      <c r="D2252" s="5" t="s">
        <v>8647</v>
      </c>
      <c r="E2252" s="5" t="s">
        <v>8567</v>
      </c>
      <c r="F2252" s="5">
        <v>29.8</v>
      </c>
      <c r="G2252" s="5">
        <v>179</v>
      </c>
    </row>
    <row r="2253" spans="1:7" ht="16.5">
      <c r="A2253" s="5" t="s">
        <v>8648</v>
      </c>
      <c r="B2253" s="10" t="s">
        <v>8649</v>
      </c>
      <c r="C2253" s="5" t="s">
        <v>2215</v>
      </c>
      <c r="D2253" s="5" t="s">
        <v>8650</v>
      </c>
      <c r="E2253" s="5" t="s">
        <v>8651</v>
      </c>
      <c r="F2253" s="5">
        <v>45</v>
      </c>
      <c r="G2253" s="5">
        <v>270</v>
      </c>
    </row>
    <row r="2254" spans="1:7" ht="16.5">
      <c r="A2254" s="5" t="s">
        <v>8652</v>
      </c>
      <c r="B2254" s="10" t="s">
        <v>8653</v>
      </c>
      <c r="C2254" s="5" t="s">
        <v>2216</v>
      </c>
      <c r="D2254" s="5" t="s">
        <v>8654</v>
      </c>
      <c r="E2254" s="5" t="s">
        <v>8651</v>
      </c>
      <c r="F2254" s="5">
        <v>45</v>
      </c>
      <c r="G2254" s="5">
        <v>270</v>
      </c>
    </row>
    <row r="2255" spans="1:7" ht="16.5">
      <c r="A2255" s="5" t="s">
        <v>8655</v>
      </c>
      <c r="B2255" s="10" t="s">
        <v>8656</v>
      </c>
      <c r="C2255" s="5" t="s">
        <v>2217</v>
      </c>
      <c r="D2255" s="5" t="s">
        <v>8657</v>
      </c>
      <c r="E2255" s="5" t="s">
        <v>8651</v>
      </c>
      <c r="F2255" s="5">
        <v>39</v>
      </c>
      <c r="G2255" s="5">
        <v>234</v>
      </c>
    </row>
    <row r="2256" spans="1:7" ht="16.5">
      <c r="A2256" s="5" t="s">
        <v>8658</v>
      </c>
      <c r="B2256" s="10" t="s">
        <v>8659</v>
      </c>
      <c r="C2256" s="5" t="s">
        <v>2218</v>
      </c>
      <c r="D2256" s="5" t="s">
        <v>8660</v>
      </c>
      <c r="E2256" s="5" t="s">
        <v>8661</v>
      </c>
      <c r="F2256" s="5">
        <v>32</v>
      </c>
      <c r="G2256" s="5">
        <v>192</v>
      </c>
    </row>
    <row r="2257" spans="1:7" ht="16.5">
      <c r="A2257" s="5" t="s">
        <v>8662</v>
      </c>
      <c r="B2257" s="10" t="s">
        <v>8663</v>
      </c>
      <c r="C2257" s="5" t="s">
        <v>2219</v>
      </c>
      <c r="D2257" s="5" t="s">
        <v>2236</v>
      </c>
      <c r="E2257" s="5" t="s">
        <v>8664</v>
      </c>
      <c r="F2257" s="5">
        <v>0</v>
      </c>
      <c r="G2257" s="5">
        <v>0</v>
      </c>
    </row>
    <row r="2258" spans="1:7" ht="16.5">
      <c r="A2258" s="5" t="s">
        <v>8665</v>
      </c>
      <c r="B2258" s="10" t="s">
        <v>8666</v>
      </c>
      <c r="C2258" s="5" t="s">
        <v>2220</v>
      </c>
      <c r="D2258" s="5" t="s">
        <v>2236</v>
      </c>
      <c r="E2258" s="5" t="s">
        <v>8664</v>
      </c>
      <c r="F2258" s="5">
        <v>0</v>
      </c>
      <c r="G2258" s="5">
        <v>500</v>
      </c>
    </row>
    <row r="2259" spans="1:7" ht="16.5">
      <c r="A2259" s="5" t="s">
        <v>8667</v>
      </c>
      <c r="B2259" s="10" t="s">
        <v>8668</v>
      </c>
      <c r="C2259" s="5" t="s">
        <v>2221</v>
      </c>
      <c r="D2259" s="5" t="s">
        <v>2236</v>
      </c>
      <c r="E2259" s="5" t="s">
        <v>8664</v>
      </c>
      <c r="F2259" s="5">
        <v>0</v>
      </c>
      <c r="G2259" s="5"/>
    </row>
    <row r="2260" spans="1:7" ht="16.5">
      <c r="A2260" s="5" t="s">
        <v>8669</v>
      </c>
      <c r="B2260" s="10" t="s">
        <v>8670</v>
      </c>
      <c r="C2260" s="5" t="s">
        <v>2222</v>
      </c>
      <c r="D2260" s="5" t="s">
        <v>2236</v>
      </c>
      <c r="E2260" s="5" t="s">
        <v>8664</v>
      </c>
      <c r="F2260" s="5">
        <v>0</v>
      </c>
      <c r="G2260" s="5">
        <v>0</v>
      </c>
    </row>
    <row r="2261" spans="1:7" ht="16.5">
      <c r="A2261" s="5" t="s">
        <v>8671</v>
      </c>
      <c r="B2261" s="10" t="s">
        <v>8672</v>
      </c>
      <c r="C2261" s="5" t="s">
        <v>2223</v>
      </c>
      <c r="D2261" s="5" t="s">
        <v>3297</v>
      </c>
      <c r="E2261" s="5" t="s">
        <v>8664</v>
      </c>
      <c r="F2261" s="5">
        <v>2860</v>
      </c>
      <c r="G2261" s="5">
        <v>17160</v>
      </c>
    </row>
    <row r="2262" spans="1:7" ht="16.5">
      <c r="A2262" s="5" t="s">
        <v>8673</v>
      </c>
      <c r="B2262" s="10" t="s">
        <v>8674</v>
      </c>
      <c r="C2262" s="5" t="s">
        <v>2224</v>
      </c>
      <c r="D2262" s="5" t="s">
        <v>2236</v>
      </c>
      <c r="E2262" s="5" t="s">
        <v>8664</v>
      </c>
      <c r="F2262" s="5">
        <v>0</v>
      </c>
      <c r="G2262" s="5">
        <v>0</v>
      </c>
    </row>
    <row r="2263" spans="1:7" ht="16.5">
      <c r="A2263" s="5" t="s">
        <v>8675</v>
      </c>
      <c r="B2263" s="10" t="s">
        <v>8676</v>
      </c>
      <c r="C2263" s="5" t="s">
        <v>2225</v>
      </c>
      <c r="D2263" s="5" t="s">
        <v>2236</v>
      </c>
      <c r="E2263" s="5" t="s">
        <v>8664</v>
      </c>
      <c r="F2263" s="5">
        <v>268</v>
      </c>
      <c r="G2263" s="5">
        <v>1608</v>
      </c>
    </row>
    <row r="2264" spans="1:7" ht="16.5">
      <c r="A2264" s="5" t="s">
        <v>8677</v>
      </c>
      <c r="B2264" s="10" t="s">
        <v>8678</v>
      </c>
      <c r="C2264" s="5" t="s">
        <v>2226</v>
      </c>
      <c r="D2264" s="5" t="s">
        <v>2236</v>
      </c>
      <c r="E2264" s="5" t="s">
        <v>8664</v>
      </c>
      <c r="F2264" s="5">
        <v>0</v>
      </c>
      <c r="G2264" s="5">
        <v>0</v>
      </c>
    </row>
    <row r="2265" spans="1:7" ht="16.5">
      <c r="A2265" s="5" t="s">
        <v>8679</v>
      </c>
      <c r="B2265" s="10" t="s">
        <v>8680</v>
      </c>
      <c r="C2265" s="5" t="s">
        <v>2227</v>
      </c>
      <c r="D2265" s="5" t="s">
        <v>3297</v>
      </c>
      <c r="E2265" s="5" t="s">
        <v>8664</v>
      </c>
      <c r="F2265" s="5">
        <v>15</v>
      </c>
      <c r="G2265" s="5">
        <v>90</v>
      </c>
    </row>
    <row r="2266" spans="1:7" ht="16.5">
      <c r="A2266" s="5" t="s">
        <v>8681</v>
      </c>
      <c r="B2266" s="10" t="s">
        <v>8682</v>
      </c>
      <c r="C2266" s="5" t="s">
        <v>2228</v>
      </c>
      <c r="D2266" s="5" t="s">
        <v>3297</v>
      </c>
      <c r="E2266" s="5" t="s">
        <v>8664</v>
      </c>
      <c r="F2266" s="5">
        <v>68</v>
      </c>
      <c r="G2266" s="5">
        <v>408</v>
      </c>
    </row>
    <row r="2267" spans="1:7" ht="16.5">
      <c r="A2267" s="5" t="s">
        <v>8683</v>
      </c>
      <c r="B2267" s="10" t="s">
        <v>8684</v>
      </c>
      <c r="C2267" s="5" t="s">
        <v>2229</v>
      </c>
      <c r="D2267" s="5" t="s">
        <v>3297</v>
      </c>
      <c r="E2267" s="5" t="s">
        <v>8664</v>
      </c>
      <c r="F2267" s="5">
        <v>28</v>
      </c>
      <c r="G2267" s="5">
        <v>168</v>
      </c>
    </row>
    <row r="2268" spans="1:7" ht="16.5">
      <c r="A2268" s="5" t="s">
        <v>8685</v>
      </c>
      <c r="B2268" s="10" t="s">
        <v>8686</v>
      </c>
      <c r="C2268" s="5" t="s">
        <v>2230</v>
      </c>
      <c r="D2268" s="5" t="s">
        <v>3297</v>
      </c>
      <c r="E2268" s="5" t="s">
        <v>8664</v>
      </c>
      <c r="F2268" s="5">
        <v>38</v>
      </c>
      <c r="G2268" s="5">
        <v>228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2019-10-14T02:20:41Z</dcterms:created>
  <dcterms:modified xsi:type="dcterms:W3CDTF">2019-10-14T02:43:08Z</dcterms:modified>
  <cp:category/>
  <cp:version/>
  <cp:contentType/>
  <cp:contentStatus/>
</cp:coreProperties>
</file>